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0" windowWidth="25200" windowHeight="11550" tabRatio="500" activeTab="0"/>
  </bookViews>
  <sheets>
    <sheet name="прайс_ли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<sst xmlns="http://schemas.openxmlformats.org/spreadsheetml/2006/main" count="850" uniqueCount="31">
  <si>
    <t>Примечание</t>
  </si>
  <si>
    <t>руб.</t>
  </si>
  <si>
    <t>НАИМЕНОВАНИЕ</t>
  </si>
  <si>
    <t>ЦЕНА ЗА ЕД. БЕЗ НДС</t>
  </si>
  <si>
    <t>ВАЛЮТА</t>
  </si>
  <si>
    <t>6ES71957HD100XA0: SIMATIC DP, ET 200M, АКТИВНЫЙ ШИННЫЙ МОДУЛЬ С ПОДДЕРЖКОЙ ФУНКЦИЙ "ГОРЯЧЕЙ" ЗАМЕНЫ, ДЛЯ УСТАНОВКИ 2 ИНТЕРФЕЙСНЫХ МОДУЛЕЙ IM153-2 HIGH FUTURE (FO) С ПОДДЕРЖКОЙ ФУНКЦИЙ РАБОТЫ В РЕЗЕРВИРОВАННЫХ СЕТЯХ PROFIBUS</t>
  </si>
  <si>
    <t>6ES73211BH100AA0: SIMATIC S7-300, SM 321, МОДУЛЬ ВВОДА ДИСКРЕТНЫХ СИГНАЛОВ: ОПТОЭЛЕКТРОННОЕ РАЗДЕЛЕНИЕ ВНЕШНИХ И ВНУТРЕННИХ ЦЕПЕЙ, 16 ВХОДОВ =24В, ЗАДЕРЖКА РАСПРОСТРАНЕ</t>
  </si>
  <si>
    <t>6ES73221BH010AA0: SIMATIC S7-300, SM 322, МОДУЛЬ ВЫВОДА ДИСКРЕТНЫХ СИГНАЛОВ: ГАЛЬВАНИЧЕСКОЕ РАЗДЕЛЕНИЕ ВНЕШНИХ И ВНУТРЕННИХ ЦЕПЕЙ, 16 ВЫХОДОВ =24В/0.5A. 20-ПОЛЮСНЫЙ ФРОНТАЛЬНЫЙ СОЕДИНИТЕЛЬ ЗАКАЗЫВАЕТСЯ ОТДЕЛЬНО</t>
  </si>
  <si>
    <t>6ES73221BH100AA0: SIMATIC S7-300, SM 322, МОДУЛЬ ВЫВОДА ДИСКРЕТНЫХ СИГНАЛОВ: ГАЛЬВАНИЧЕСКОЕ РАЗДЕЛЕНИЕ ВНЕШНИХ И ВНУТРЕННИХ ЦЕПЕЙ, 16 ВЫХОДОВ =24В/0.5A, БЫСТРОДЕЙСТВУЮЩИЙ. 20-ПОЛЮСНЫЙ ФРОНТАЛЬНЫЙ СОЕДИНИТЕЛЬ ЗАКАЗЫВАЕТСЯ ОТДЕЛЬНО</t>
  </si>
  <si>
    <t>6ES73221BL000AA0: SIMATIC S7-300, SM 322, МОДУЛЬ ВЫВОДА ДИСКРЕТНЫХ СИГНАЛОВ: ГАЛЬВАНИЧЕСКОЕ РАЗДЕЛЕНИЕ ВНЕШНИХ И ВНУТРЕННИХ ЦЕПЕЙ, 32 ВЫХОДА =24В/0.5A, СУММ.КВРНЫЙ ВЫХОДНОЙ ТОК 8А. 40-ПОЛЮСНЫЙ ФРОНТАЛЬНЫЙ СОЕДИНИТЕЛЬ ЗАКАЗЫВАЕТСЯ ОТДЕЛЬНО</t>
  </si>
  <si>
    <t>6ES73921AJ000AA0: SIMATIC S7-300 Соединитель 20-полюсный фронтальный для сигнальных модулей клемм с винтовыми зажимами (6ES7392-1AJ00-0AA0)</t>
  </si>
  <si>
    <t>6ES79720BA520XA0: SIMATIC DP, ШИННЫЙ ОЕДИНИТЕЛЬ ДЛЯ ПОДКЛЮЧЕНИЯ К СЕТЯМ PROFIBUS ДО 12 МБИТ/С, ОТВОД КАБЕЛЯ ПОД УГЛОМ 90 ГРАДУСОВ, 15,8 X 59 X 35,6 MM (ШXВXГ), IPCD, ТЕХНОЛОГИЯ FAST CONNECT, БЕЗ РАЗЪЁМА ДЛЯ ПОДКЛЮЧЕНИЯ ПРОГРАММАТОРА</t>
  </si>
  <si>
    <t>6GK71427BX000AX0: LOGO CMR2020 KOMMUNICATION MODULE</t>
  </si>
  <si>
    <t>6GK73431EX300XE0: SIMATIC NET, CP 343-1КОММУНИКАЦИОННЫЙ ПРОЦЕССОР ДЛЯ ПОДКЛЮЧЕНИЯ SIMATIC S7-300 К IND. ETHERNET ЧЕРЕЗ ISO И TCP/IP, PROFINET IO-КОНТРОЛЛЕР, ИЛИ PROFINET IO-УСТРОЙСТВО, ВСТРОЕННЫЙ 2Х-ПОРТОВЫЙ КОММУТАТОР ERTEC200, S7-COMM., FETCH/WRITE, SEND/RCV С И БЕЗ RFC1</t>
  </si>
  <si>
    <t>6GK74431EX200XE0: SIMATIC NET, КОММУНИКАЦИОННЫЙ ПРОЦЕССОР CP 443-1 ДЛЯ ПОДКЛЮЧЕНИЯ SIMATIC S7-400 К INDUSTRIAL ETHERNET ЧЕРЕЗ ISO, TCP/IP AND UDP, S7-COMM., FETCH/WRITE, SEND/RCV С И БЕЗ RFC1006, MULTICAST, PROFINET IO- КОНТРОЛЛЕР, DHCP, SNMP V2, WEB-, ДИАГНОСТИКА</t>
  </si>
  <si>
    <t>7KM93000AB000AA0</t>
  </si>
  <si>
    <t>6ES79120AA000AA0</t>
  </si>
  <si>
    <t>6ES73901AE800AA0</t>
  </si>
  <si>
    <t>15 6ED10521MD000BA8</t>
  </si>
  <si>
    <t>6EP19312FC21: SITOP DC UPS MODULE, МОДУЛЬ БЕСПЕРЕБОЙНОГО ПИТАНИЯ 24В/40А БЕЗ ИНТЕРФЕЙСА, ВХОД: =24 В / 42,6A, ВЫХОД: =24 В / 40A</t>
  </si>
  <si>
    <t>6ES71532BA020XB0: SIMATIC DP, ИНТЕРФЕЙСНЫЙ МОДУЛЬ С УЛУЧШЕННЫМИ ХАРАКТЕРИСТИКАМИ IM 153-2 HIGH FEATURE ДЛЯ ET 200M, МАКС. 12 МОДУЛЕЙ S7-300, ПОДДЕРЖКА РЕЗЕРВИРОВАНИЯ, ВРЕМЕННЫЕ МЕТКИ ДЛЯ ИЗОХРОННОГО РЕЖИМА, СПЕЦ.ФУНКЦИИ: 12 МОДУЛЕЙ, АКТИВНЫЙ SLAVE ДЛЯ КОММУТАТОРОВ И ПРИВОДОВ, РАСШИРЕННЫЕ ДАННЫЕ ДЛЯ 2 ПЕРЕМЕННОЙ HART</t>
  </si>
  <si>
    <t>6ES71951GC000XA0: Дин рейка высокая</t>
  </si>
  <si>
    <t>6ES71957HD800XA0: SIMATIC DP, АКТИВНЫЙ ШИННЫЙ СОЕДИНИТЕЛЬ BM IM157: ДЛЯ УСТАНОВКИ ИНТЕРФЕЙСНОГО МОДУЛЯ IM157 DPV1; РАСШИРЕННЫЙ ДИАПАЗОН РАБОЧИХ ТЕМПЕРАТУР; "ГОРЯЧАЯ" ЗАМЕНА ИНТЕРФЕЙСНОГО МОДУЛЯ</t>
  </si>
  <si>
    <t>6ES71971LB000XA0: SIMATIC S7, Y-СОЕДИНИТЕЛЬ ДЛЯ БЛОКА Y-ОБРАЗНОГО ПОДКЛЮЧЕНИЯ 1-КАНАЛЬНЫХ ВЕДОМЫХ DP-УСТРОЙСТВ К РЕЗЕРВИРОВАННОЙ СЕТИ PROFIBUS-DP</t>
  </si>
  <si>
    <t>6ES71AE800AA0: Дин рейка для SIEMENS низкая 482 мм</t>
  </si>
  <si>
    <t>:6ES72310HC220XA0: SIMATIC S7-200, EM 231, МОДУЛЬ ВВОДА АНАЛОГОВЫХ СИГНАЛОВ ДЛЯ CPU222/ CPU224/ CPU226/ CPU226XM: 4 ВХОДА 0…5В/ 0…10В/ ±2.5В/ ±5В/ 0…20МА, 12 БИТ, 250 МКС</t>
  </si>
  <si>
    <t>6ES74070DA020AA0: SIMATIC S7-400, БЛОК ПИТАНИЯ PS407: 4A, ШИРОКИЙ ДИАПАЗОН, ~120/230В, =5В/4A (6ES7407-0DA02-0AA0)</t>
  </si>
  <si>
    <t>6ES76532BA000XB5: SIMANTIC PCS 7 Runtime License AS (PO 100)</t>
  </si>
  <si>
    <t>6ES76547HY000XA0: SIMATIC S7, МОДУЛЬ ВНУТРЕННЕЙ ШИНЫ ДЛЯ УСТАНОВКИ Y-СОЕДИНИТЕЛЯ, С ЗАЩИТНОЙ КРЫШКОЙ (6ES7654-7HY00-0XA0)</t>
  </si>
  <si>
    <t>6ES76584XX080YT8: SIMANTIC PCS 7 V8.0 Update 1</t>
  </si>
  <si>
    <t>6ES79213AG200AA0:SIMATIC S7-300, 40-ПОЛЮСНЫЙ ФРОНТ. СОЕДИНИТЕЛЬ SIMATIC TOP CONNECT ДЛЯ МОДУЛЕЙ ВВОДА АНАЛОГ. СИГНАЛОВ, ПОДКЛ. ВНЕШНИХ ЦЕПЕЙ КРУГЛЫМ КАБЕЛЕМ, ПОДКЛ. ПИТАНИЯ ЧЕРЕЗ ТЕРМИНАЛЬНЫЙ БЛОК С КОНТАКТАМИ ПОД ВИНТ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</si>
</sst>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0.000;###0.000"/>
    <numFmt numFmtId="165" formatCode="###0.00;###0.00"/>
    <numFmt numFmtId="166" formatCode="###0;###0"/>
    <numFmt numFmtId="167" formatCode="###0.0;###0.0"/>
  </numFmts>
  <fonts count="40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43" fontId="2" fillId="33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RA\&#1041;&#1099;&#1090;&#1086;&#1074;&#1086;&#1077;%20&#1085;&#1072;%20SAL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RA\&#1050;&#1080;&#1073;&#1077;&#1088;&#1085;&#1077;&#1090;&#1080;&#1082;&#1072;_&#1057;&#1082;&#1083;&#1072;&#1076;_SALE_08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f"/>
      <sheetName val="Лист1"/>
      <sheetName val="Лист3"/>
    </sheetNames>
    <sheetDataSet>
      <sheetData sheetId="1">
        <row r="5">
          <cell r="A5">
            <v>24071</v>
          </cell>
          <cell r="B5" t="str">
            <v>АВТ. ВЫКЛ. C60N 2П 1A B</v>
          </cell>
        </row>
        <row r="6">
          <cell r="A6">
            <v>24072</v>
          </cell>
          <cell r="B6" t="str">
            <v>АВТ. ВЫКЛ. C60N 2П 2A B</v>
          </cell>
        </row>
        <row r="7">
          <cell r="A7">
            <v>24581</v>
          </cell>
          <cell r="B7" t="str">
            <v>АВТ. ВЫКЛ. C60N 2П 2A D</v>
          </cell>
        </row>
        <row r="8">
          <cell r="A8">
            <v>24074</v>
          </cell>
          <cell r="B8" t="str">
            <v>АВТОМАТИЧЕСКИЙ ВЫКЛ. C60N 2П  4A B</v>
          </cell>
        </row>
        <row r="9">
          <cell r="A9">
            <v>24075</v>
          </cell>
          <cell r="B9" t="str">
            <v>АВТОМАТИЧЕСКИЙ ВЫКЛ. C60N 2П  6A B</v>
          </cell>
        </row>
        <row r="10">
          <cell r="A10">
            <v>24582</v>
          </cell>
          <cell r="B10" t="str">
            <v>АВТОМАТИЧЕСКИЙ ВЫКЛ. C60N 2П  3A D</v>
          </cell>
        </row>
        <row r="11">
          <cell r="A11">
            <v>24072</v>
          </cell>
          <cell r="B11" t="str">
            <v>АВТ. ВЫКЛ. C60N 2П 2A B</v>
          </cell>
        </row>
        <row r="12">
          <cell r="A12" t="str">
            <v>A9K24332</v>
          </cell>
          <cell r="B12" t="str">
            <v>АВТОМАТИЧЕСКИЙ ВЫКЛ. C60N 2П  2A  C</v>
          </cell>
        </row>
        <row r="13">
          <cell r="A13" t="str">
            <v>A9F73202</v>
          </cell>
          <cell r="B13" t="str">
            <v>АВТ. ВЫКЛ.iC60N 2П  2A  B</v>
          </cell>
        </row>
        <row r="14">
          <cell r="A14" t="str">
            <v>A9F78206</v>
          </cell>
          <cell r="B14" t="str">
            <v>АВТ. ВЫКЛ.iC60N 2П  6A  B</v>
          </cell>
        </row>
        <row r="15">
          <cell r="A15" t="str">
            <v>A9F78210</v>
          </cell>
          <cell r="B15" t="str">
            <v>АВТ. ВЫКЛ.iC60N 2П 10A  B</v>
          </cell>
        </row>
        <row r="16">
          <cell r="A16" t="str">
            <v>11090DEK</v>
          </cell>
          <cell r="B16" t="str">
            <v>Авт. выкл. 4Р 16А х-ка C ВА-101 4,5кА DEKraft</v>
          </cell>
        </row>
        <row r="17">
          <cell r="A17" t="str">
            <v>11092DEK</v>
          </cell>
          <cell r="B17" t="str">
            <v>Авт. выкл. 4Р 25А х-ка C ВА-101 4,5кА DEKraft</v>
          </cell>
        </row>
        <row r="18">
          <cell r="A18" t="str">
            <v>12077DEK</v>
          </cell>
          <cell r="B18" t="str">
            <v>Авт. выкл. 2Р 32А х-ка C ВА-103 6кА DEKraft</v>
          </cell>
        </row>
        <row r="19">
          <cell r="A19" t="str">
            <v>13008DEK</v>
          </cell>
          <cell r="B19" t="str">
            <v>Авт. выкл. 3Р 80А х-ка С ВА-201 10кА DEKraft</v>
          </cell>
        </row>
        <row r="20">
          <cell r="A20" t="str">
            <v>13180DEK</v>
          </cell>
          <cell r="B20" t="str">
            <v>Авт. выкл. 3P C кривая 32A 10кА ВА-105</v>
          </cell>
        </row>
        <row r="21">
          <cell r="A21" t="str">
            <v>14077DEK</v>
          </cell>
          <cell r="B21" t="str">
            <v>УЗО 4P 16А 30мА AC УЗО-03 6кА DEKraft</v>
          </cell>
        </row>
        <row r="22">
          <cell r="A22" t="str">
            <v>14078DEK</v>
          </cell>
          <cell r="B22" t="str">
            <v>УЗО 4P 25А 30мА AC УЗО-03 6кА DEKraft</v>
          </cell>
        </row>
        <row r="23">
          <cell r="A23" t="str">
            <v>14052DEK</v>
          </cell>
          <cell r="B23" t="str">
            <v>УЗО 2P 10А 30мА AC УЗО-03 6кА DEKraft </v>
          </cell>
        </row>
        <row r="24">
          <cell r="A24" t="str">
            <v>14086DEK</v>
          </cell>
          <cell r="B24" t="str">
            <v>УЗО 4P 32А 100мА AC УЗО-03 6кА DEKraft</v>
          </cell>
        </row>
        <row r="25">
          <cell r="A25" t="str">
            <v>14053DEK</v>
          </cell>
          <cell r="B25" t="str">
            <v>УЗО 2P 16А 30мА AC УЗО-03 6кА DEKraft</v>
          </cell>
        </row>
        <row r="26">
          <cell r="A26" t="str">
            <v>15020DEK</v>
          </cell>
          <cell r="B26" t="str">
            <v>Диф. автомат 4Р 16А 30мА тип AC х-ка С ДИФ-101 4,5кА DE</v>
          </cell>
        </row>
        <row r="27">
          <cell r="A27" t="str">
            <v>15024DEK</v>
          </cell>
          <cell r="B27" t="str">
            <v>Диф. автомат 4Р 40А 30мА тип AC х-ка С ДИФ-101 4,5кА DE</v>
          </cell>
        </row>
        <row r="28">
          <cell r="A28" t="str">
            <v>15045DEK</v>
          </cell>
          <cell r="B28" t="str">
            <v>Диф. автомат 4Р 25А 300мА тип AC х-ка С ДИФ-101 4,5кА D</v>
          </cell>
        </row>
        <row r="30">
          <cell r="A30" t="str">
            <v>2744429</v>
          </cell>
          <cell r="B30" t="str">
            <v>PSM-ME-RS485/RS485P</v>
          </cell>
        </row>
        <row r="32">
          <cell r="A32" t="str">
            <v>0916606</v>
          </cell>
          <cell r="B32" t="str">
            <v>UT6-TMC M 4A ( Авт. Выкл 4 А) PHOENIX</v>
          </cell>
        </row>
        <row r="33">
          <cell r="A33" t="str">
            <v>0916611</v>
          </cell>
          <cell r="B33" t="str">
            <v>UT6-TMC M 12A (Авт Выкл 12А) PHOENIX</v>
          </cell>
        </row>
        <row r="35">
          <cell r="A35" t="str">
            <v>03436</v>
          </cell>
          <cell r="B35" t="str">
            <v>Автоматический выключатель 2П С32А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7">
          <cell r="B7" t="str">
            <v>NSYS3D10830P</v>
          </cell>
          <cell r="C7" t="str">
            <v>ШКАФ S3D С ПЛАТОЙ 10Х8Х3</v>
          </cell>
        </row>
        <row r="8">
          <cell r="B8" t="str">
            <v>NSYAEFPFSB</v>
          </cell>
          <cell r="C8" t="str">
            <v>ПРОУШИНЫ ВНЕШНЕГО КРЕПЛЕНИЯ 4ШТ</v>
          </cell>
        </row>
        <row r="9">
          <cell r="B9" t="str">
            <v>NSYAEFPFSC</v>
          </cell>
          <cell r="C9" t="str">
            <v>4 ПРОУШИНЫ ДЛЯ КРЕП.К СТЕНЕ (СТАЛЬ)
3D</v>
          </cell>
        </row>
        <row r="10">
          <cell r="B10" t="str">
            <v>NSYBCE8</v>
          </cell>
          <cell r="C10" t="str">
            <v>2 ЩЕТ. УПЛ. ПЛАТЫ КАБ. ВВОДА 800</v>
          </cell>
        </row>
        <row r="11">
          <cell r="B11" t="str">
            <v>NSYCFP60</v>
          </cell>
          <cell r="C11" t="str">
            <v>НИЖНЯЯ ПОПЕР. РЕЙКА ДЛЯ КР. КАБЕЛЯ 600</v>
          </cell>
        </row>
        <row r="12">
          <cell r="B12" t="str">
            <v>NSYEC1062</v>
          </cell>
          <cell r="C12" t="str">
            <v>3-Х МОД. ПЛАТА КАБ. ВВОДА SF 1000x600</v>
          </cell>
        </row>
        <row r="13">
          <cell r="B13" t="str">
            <v>NSYEC1082</v>
          </cell>
          <cell r="C13" t="str">
            <v>3-Х МОД. ПЛАТА КАБ. ВВОДА SF 1000x800</v>
          </cell>
        </row>
        <row r="14">
          <cell r="B14" t="str">
            <v>NSYEC1241</v>
          </cell>
          <cell r="C14" t="str">
            <v>2-Х МОД. ПЛАТА КАБ. ВВОДА SF 1200x400</v>
          </cell>
        </row>
        <row r="15">
          <cell r="B15" t="str">
            <v>NSYEC1262</v>
          </cell>
          <cell r="C15" t="str">
            <v>3-Х МОД. ПЛАТА КАБ. ВВОДА SF 1200x600</v>
          </cell>
        </row>
        <row r="16">
          <cell r="B16" t="str">
            <v>NSYEC641</v>
          </cell>
          <cell r="C16" t="str">
            <v>2-Х МОД. ПЛАТА КАБ. ВВОДА SF 600x400</v>
          </cell>
        </row>
        <row r="17">
          <cell r="B17" t="str">
            <v>NSYEC641</v>
          </cell>
          <cell r="C17" t="str">
            <v>2-Х МОД. ПЛАТА КАБ. ВВОДА SF 600x400</v>
          </cell>
        </row>
        <row r="18">
          <cell r="B18" t="str">
            <v>NSYEC66</v>
          </cell>
          <cell r="C18" t="str">
            <v>ЦЕЛЬНАЯ ПЛАТА КАБ. ВВОДА SF 600x600</v>
          </cell>
        </row>
        <row r="19">
          <cell r="B19" t="str">
            <v>NSYEDCOS</v>
          </cell>
          <cell r="C19" t="str">
            <v>КРОНШТЕЙНЫ ДЛЯ КОЛЛЕКТОРА ЗАЗЕМЛЕНИЯ</v>
          </cell>
        </row>
        <row r="20">
          <cell r="B20" t="str">
            <v>NSYETF</v>
          </cell>
          <cell r="C20" t="str">
            <v>КОМБИНИРОВАННЫЙ ОПОРНЫЙ КРОНШТЕЙН</v>
          </cell>
        </row>
        <row r="21">
          <cell r="B21" t="str">
            <v>NSYMPS40</v>
          </cell>
          <cell r="C21" t="str">
            <v>2 УСИЛ. ДЕРЖАТЕЛЯ ДЛЯ МОНТ. ПЛАТ 400</v>
          </cell>
        </row>
        <row r="22">
          <cell r="B22" t="str">
            <v>NSYMR1012</v>
          </cell>
          <cell r="C22" t="str">
            <v>ПЛАТА ПЕРФОРИРОВАННАЯ 1000Х1200</v>
          </cell>
        </row>
        <row r="23">
          <cell r="B23" t="str">
            <v>NSYSBM15158</v>
          </cell>
          <cell r="C23" t="str">
            <v>КЛЕММНАЯ КОРОБКА SBM150x150x80</v>
          </cell>
        </row>
        <row r="24">
          <cell r="B24" t="str">
            <v>NSYSFBK</v>
          </cell>
          <cell r="C24" t="str">
            <v>СТАНД. СОЕД. КОМПЛЕКТ ДЛЯ ШКАФОВ SF</v>
          </cell>
        </row>
        <row r="25">
          <cell r="B25" t="str">
            <v>NSYSFBKF</v>
          </cell>
          <cell r="C25" t="str">
            <v>КОМПЛЕКТ ДЛЯ БЫСТРОГО СОЕД ШКАФОВ SF</v>
          </cell>
        </row>
        <row r="26">
          <cell r="B26" t="str">
            <v>NSYSFC88</v>
          </cell>
          <cell r="C26" t="str">
            <v>НИЖНЯЯ И ВЕРХНЯЯ РАМЫ SF 800x800</v>
          </cell>
        </row>
        <row r="27">
          <cell r="B27" t="str">
            <v>NSYSFPB</v>
          </cell>
          <cell r="C27" t="str">
            <v>4 КРОНШТЕЙНА ДЛЯ МОНТАЖНОЙ ПЛАТЫ</v>
          </cell>
        </row>
        <row r="28">
          <cell r="B28" t="str">
            <v>NSYSPF6100</v>
          </cell>
          <cell r="C28" t="str">
            <v>ПЕР. И ЗАДН. ПАНЕЛИ ЦОКОЛЯ 600x100</v>
          </cell>
        </row>
        <row r="29">
          <cell r="B29" t="str">
            <v>NSYSPF8100</v>
          </cell>
          <cell r="C29" t="str">
            <v>ПЕР. И ЗАДН. ПАНЕЛИ ЦОКОЛЯ 800x100</v>
          </cell>
        </row>
        <row r="30">
          <cell r="B30" t="str">
            <v>NSYSPS10100</v>
          </cell>
          <cell r="C30" t="str">
            <v>2 БОКОВЫЕ ПАНЕЛИ ЦОКОЛЯ 1000x100</v>
          </cell>
        </row>
        <row r="31">
          <cell r="B31" t="str">
            <v>NSYSPS4100</v>
          </cell>
          <cell r="C31" t="str">
            <v>2 БОКОВЫЕ ПАНЕЛИ ЦОКОЛЯ 400x100</v>
          </cell>
        </row>
        <row r="32">
          <cell r="B32" t="str">
            <v>NSYSPS6100</v>
          </cell>
          <cell r="C32" t="str">
            <v>2 БОКОВЫЕ ПАНЕЛИ ЦОКОЛЯ 600x100</v>
          </cell>
        </row>
        <row r="33">
          <cell r="B33" t="str">
            <v>NSYSPS8100</v>
          </cell>
          <cell r="C33" t="str">
            <v>2 БОКОВЫЕ ПАНЕЛИ ЦОКОЛЯ 800x100</v>
          </cell>
        </row>
        <row r="34">
          <cell r="B34" t="str">
            <v>NSYSPS8200</v>
          </cell>
          <cell r="C34" t="str">
            <v>4 БОКОВЫЕ ПАНЕЛИ ЦОКОЛЯ 800x200</v>
          </cell>
        </row>
        <row r="35">
          <cell r="B35" t="str">
            <v>NSYSTMP4560</v>
          </cell>
          <cell r="C35" t="str">
            <v>ПЕРФ. МОНТАЖНАЯ ПЛАТА 450х600</v>
          </cell>
        </row>
        <row r="36">
          <cell r="B36" t="str">
            <v>NSYSTMP60100</v>
          </cell>
          <cell r="C36" t="str">
            <v>ПЕРФ. МОНТАЖНАЯ ПЛАТА 600х1000</v>
          </cell>
        </row>
        <row r="37">
          <cell r="B37" t="str">
            <v>NSYSTMP60120</v>
          </cell>
          <cell r="C37" t="str">
            <v>ПЕРФ. МОНТАЖНАЯ ПЛАТА 600х1200</v>
          </cell>
        </row>
        <row r="38">
          <cell r="B38" t="str">
            <v>NSYSTMP6060</v>
          </cell>
          <cell r="C38" t="str">
            <v>ПЕРФ. МОНТАЖНАЯ ПЛАТА 600х600</v>
          </cell>
        </row>
        <row r="39">
          <cell r="B39" t="str">
            <v>NSYSTMP8260</v>
          </cell>
          <cell r="C39" t="str">
            <v>ПЕРФ. МОНТАЖНАЯ ПЛАТА 825х600</v>
          </cell>
        </row>
        <row r="40">
          <cell r="B40" t="str">
            <v>NSYSUCR40100</v>
          </cell>
          <cell r="C40" t="str">
            <v>2 ОДНОРЯДНЫЕ УНИВ. ПОПЕР. РЕЙКИ 1000</v>
          </cell>
        </row>
        <row r="41">
          <cell r="B41" t="str">
            <v>NSYSUCR4040</v>
          </cell>
          <cell r="C41" t="str">
            <v>2 ОДНОРЯДНЫЕ УНИВ. ПОПЕР. РЕЙКИ 400</v>
          </cell>
        </row>
        <row r="42">
          <cell r="B42" t="str">
            <v>NSYSUCR4060</v>
          </cell>
          <cell r="C42" t="str">
            <v>2 ОДНОРЯДНЫЕ УНИВ. ПОПЕР. РЕЙКИ 600</v>
          </cell>
        </row>
        <row r="43">
          <cell r="B43" t="str">
            <v>NSYSUCR6540</v>
          </cell>
          <cell r="C43" t="str">
            <v>2 ДВУХРЯДНЫЕ УНИВ. ПОПЕР. РЕЙКИ 400</v>
          </cell>
        </row>
        <row r="44">
          <cell r="B44" t="str">
            <v>NSYSUCR6560</v>
          </cell>
          <cell r="C44" t="str">
            <v>2 ДВУХРЯДНЫЕ УНИВ. ПОПЕР. РЕЙКИ 600</v>
          </cell>
        </row>
        <row r="45">
          <cell r="B45" t="str">
            <v>NSYSUCR6580</v>
          </cell>
          <cell r="C45" t="str">
            <v>2 ДВУХРЯДНЫЕ УНИВ. ПОПЕР. РЕЙКИ 800</v>
          </cell>
        </row>
        <row r="46">
          <cell r="B46" t="str">
            <v>SURTRK2</v>
          </cell>
          <cell r="C46" t="str">
            <v>Комплект для монтажа в 19-дюймовую стойку</v>
          </cell>
        </row>
        <row r="47">
          <cell r="B47" t="str">
            <v>NSYMR128</v>
          </cell>
          <cell r="C47" t="str">
            <v>ПЛАТА ПЕРФОРИРОВАННАЯ 1200Х800</v>
          </cell>
        </row>
        <row r="48">
          <cell r="B48" t="str">
            <v>NSYFCG160</v>
          </cell>
          <cell r="C48" t="str">
            <v>L-ОБРАЗНАЯ РЕЙКА ДЛЯ КР. КАБЕЛЯ 1600</v>
          </cell>
        </row>
        <row r="49">
          <cell r="B49" t="str">
            <v>NSYFCG80</v>
          </cell>
          <cell r="C49" t="str">
            <v>L-ОБРАЗНАЯ РЕЙКА ДЛЯ КР. КАБЕЛЯ 800</v>
          </cell>
        </row>
        <row r="50">
          <cell r="B50" t="str">
            <v>NSYCSH206</v>
          </cell>
          <cell r="C50" t="str">
            <v>ОДИНОЧНАЯ МОНТАЖНАЯ РАМА 2000x600</v>
          </cell>
        </row>
        <row r="51">
          <cell r="B51" t="str">
            <v>NSYSMVR20</v>
          </cell>
          <cell r="C51" t="str">
            <v>2 ВЕРТИКАЛЬНЫЕ РЕГ. РЕЙКИ 2000</v>
          </cell>
        </row>
        <row r="52">
          <cell r="B52" t="str">
            <v>NSYAMRD80357SB</v>
          </cell>
          <cell r="C52" t="str">
            <v>СИММ DIN РЕЙКА 35Х7.5 Д/SBM Ш=800,УП10ШТ</v>
          </cell>
        </row>
        <row r="53">
          <cell r="B53" t="str">
            <v>AR1MA01</v>
          </cell>
          <cell r="C53" t="str">
            <v>МАРКИРОВКА 200 ШТ КАЖДОЙ ЦИФРЫ + АКСЕС</v>
          </cell>
        </row>
        <row r="54">
          <cell r="B54" t="str">
            <v>AB1R0</v>
          </cell>
          <cell r="C54" t="str">
            <v>ЛЕНТА 10 ШТ МАРКИРОВКИ НАБОРН ЦИФРА 0</v>
          </cell>
        </row>
        <row r="55">
          <cell r="B55" t="str">
            <v>AB1R1</v>
          </cell>
          <cell r="C55" t="str">
            <v>ЛЕНТА 10 ШТ МАРКИРОВКИ НАБОРН ЦИФРА 1</v>
          </cell>
        </row>
        <row r="56">
          <cell r="B56" t="str">
            <v>AB1R12</v>
          </cell>
          <cell r="C56" t="str">
            <v>ЛЕНТА 10 ШТ МАРКИРОВКИ НАБОРН \+\</v>
          </cell>
        </row>
        <row r="57">
          <cell r="B57" t="str">
            <v>AB1R13</v>
          </cell>
          <cell r="C57" t="str">
            <v>ЛЕНТА 10 ШТ МАРКИРОВКИ НАБОРН \-\</v>
          </cell>
        </row>
        <row r="58">
          <cell r="B58" t="str">
            <v>AB1R2</v>
          </cell>
          <cell r="C58" t="str">
            <v>ЛЕНТА 10 ШТ МАРКИРОВКИ НАБОРН ЦИФРА 2</v>
          </cell>
        </row>
        <row r="59">
          <cell r="B59" t="str">
            <v>AB1R3</v>
          </cell>
          <cell r="C59" t="str">
            <v>ЛЕНТА 10 ШТ МАРКИРОВКИ НАБОРН ЦИФРА 3</v>
          </cell>
        </row>
        <row r="60">
          <cell r="B60" t="str">
            <v>AB1R4</v>
          </cell>
          <cell r="C60" t="str">
            <v>ЛЕНТА 10 ШТ МАРКИРОВКИ НАБОРН ЦИФРА 4</v>
          </cell>
        </row>
        <row r="61">
          <cell r="B61" t="str">
            <v>AB1R5</v>
          </cell>
          <cell r="C61" t="str">
            <v>ЛЕНТА 10 ШТ МАРКИРОВКИ НАБОРН ЦИФРА 5</v>
          </cell>
        </row>
        <row r="62">
          <cell r="B62" t="str">
            <v>AB1R6</v>
          </cell>
          <cell r="C62" t="str">
            <v>ЛЕНТА 10 ШТ МАРКИРОВКИ НАБОРН ЦИФРА 6</v>
          </cell>
        </row>
        <row r="63">
          <cell r="B63" t="str">
            <v>AB1R7</v>
          </cell>
          <cell r="C63" t="str">
            <v>ЛЕНТА 10 ШТ МАРКИРОВКИ НАБОРН ЦИФРА 7</v>
          </cell>
        </row>
        <row r="64">
          <cell r="B64" t="str">
            <v>AB1R8</v>
          </cell>
          <cell r="C64" t="str">
            <v>ЛЕНТА 10 ШТ МАРКИРОВКИ НАБОРН ЦИФРА 8</v>
          </cell>
        </row>
        <row r="65">
          <cell r="B65" t="str">
            <v>AB1R9</v>
          </cell>
          <cell r="C65" t="str">
            <v>ЛЕНТА 10 ШТ МАРКИРОВКИ НАБОРН ЦИФРА 9</v>
          </cell>
        </row>
        <row r="66">
          <cell r="B66" t="str">
            <v>AR1MB01</v>
          </cell>
          <cell r="C66" t="str">
            <v>МАРКИРОВКА 200 ШТ КАЖДОЙ БУКВЫ A-Z</v>
          </cell>
        </row>
        <row r="67">
          <cell r="B67" t="str">
            <v>AB1GA</v>
          </cell>
          <cell r="C67" t="str">
            <v>ЛЕНТА 10 ШТ МАРКИРОВКИ НАБОРН БУКВА A</v>
          </cell>
        </row>
        <row r="68">
          <cell r="B68" t="str">
            <v>AB1GB</v>
          </cell>
          <cell r="C68" t="str">
            <v>ЛЕНТА 10 ШТ МАРКИРОВКИ НАБОРН БУКВА B</v>
          </cell>
        </row>
        <row r="69">
          <cell r="B69" t="str">
            <v>AB1GC</v>
          </cell>
          <cell r="C69" t="str">
            <v>ЛЕНТА 10 ШТ МАРКИРОВКИ НАБОРН БУКВА C</v>
          </cell>
        </row>
        <row r="70">
          <cell r="B70" t="str">
            <v>AB1GD</v>
          </cell>
          <cell r="C70" t="str">
            <v>ЛЕНТА 10 ШТ МАРКИРОВКИ НАБОРН БУКВА D</v>
          </cell>
        </row>
        <row r="71">
          <cell r="B71" t="str">
            <v>AB1GE</v>
          </cell>
          <cell r="C71" t="str">
            <v>ЛЕНТА 10 ШТ МАРКИРОВКИ НАБОРН БУКВА E</v>
          </cell>
        </row>
        <row r="72">
          <cell r="B72" t="str">
            <v>AB1GF</v>
          </cell>
          <cell r="C72" t="str">
            <v>ЛЕНТА 10 ШТ МАРКИРОВКИ НАБОРН БУКВА F</v>
          </cell>
        </row>
        <row r="73">
          <cell r="B73" t="str">
            <v>AB1GG</v>
          </cell>
          <cell r="C73" t="str">
            <v>ЛЕНТА 10 ШТ МАРКИРОВКИ НАБОРН БУКВА G</v>
          </cell>
        </row>
        <row r="74">
          <cell r="B74" t="str">
            <v>AB1GH</v>
          </cell>
          <cell r="C74" t="str">
            <v>ЛЕНТА 10 ШТ МАРКИРОВКИ НАБОРН БУКВА H</v>
          </cell>
        </row>
        <row r="75">
          <cell r="B75" t="str">
            <v>AB1GK</v>
          </cell>
          <cell r="C75" t="str">
            <v>ЛЕНТА 10 ШТ МАРКИРОВКИ НАБОРН БУКВА K</v>
          </cell>
        </row>
        <row r="76">
          <cell r="B76" t="str">
            <v>AB1GL</v>
          </cell>
          <cell r="C76" t="str">
            <v>ЛЕНТА 10 ШТ МАРКИРОВКИ НАБОРН БУКВА L</v>
          </cell>
        </row>
        <row r="77">
          <cell r="B77" t="str">
            <v>AB1GM</v>
          </cell>
          <cell r="C77" t="str">
            <v>ЛЕНТА 10 ШТ МАРКИРОВКИ НАБОРН БУКВА M</v>
          </cell>
        </row>
        <row r="78">
          <cell r="B78" t="str">
            <v>AB1GN</v>
          </cell>
          <cell r="C78" t="str">
            <v>ЛЕНТА 10 ШТ МАРКИРОВКИ НАБОРН БУКВА N</v>
          </cell>
        </row>
        <row r="79">
          <cell r="B79" t="str">
            <v>AB1GQ</v>
          </cell>
          <cell r="C79" t="str">
            <v>ЛЕНТА 10 ШТ МАРКИРОВКИ НАБОРН БУКВА Q</v>
          </cell>
        </row>
        <row r="80">
          <cell r="B80" t="str">
            <v>AB1GR</v>
          </cell>
          <cell r="C80" t="str">
            <v>ЛЕНТА 10 ШТ МАРКИРОВКИ НАБОРН БУКВА R</v>
          </cell>
        </row>
        <row r="81">
          <cell r="B81" t="str">
            <v>AB1GS</v>
          </cell>
          <cell r="C81" t="str">
            <v>ЛЕНТА 10 ШТ МАРКИРОВКИ НАБОРН БУКВА S</v>
          </cell>
        </row>
        <row r="82">
          <cell r="B82" t="str">
            <v>AB1GT</v>
          </cell>
          <cell r="C82" t="str">
            <v>ЛЕНТА 10 ШТ МАРКИРОВКИ НАБОРН БУКВА T</v>
          </cell>
        </row>
        <row r="83">
          <cell r="B83" t="str">
            <v>AB1GU</v>
          </cell>
          <cell r="C83" t="str">
            <v>ЛЕНТА 10 ШТ МАРКИРОВКИ НАБОРН БУКВА U</v>
          </cell>
        </row>
        <row r="84">
          <cell r="B84" t="str">
            <v>AB1GV</v>
          </cell>
          <cell r="C84" t="str">
            <v>ЛЕНТА 10 ШТ МАРКИРОВКИ НАБОРН БУКВА V</v>
          </cell>
        </row>
        <row r="85">
          <cell r="B85" t="str">
            <v>AB1GW</v>
          </cell>
          <cell r="C85" t="str">
            <v>ЛЕНТА 10 ШТ МАРКИРОВКИ НАБОРН БУКВА W</v>
          </cell>
        </row>
        <row r="86">
          <cell r="B86" t="str">
            <v>AB1GX</v>
          </cell>
          <cell r="C86" t="str">
            <v>ЛЕНТА 10 ШТ МАРКИРОВКИ НАБОРН БУКВА X</v>
          </cell>
        </row>
        <row r="87">
          <cell r="B87" t="str">
            <v>AB1GY</v>
          </cell>
          <cell r="C87" t="str">
            <v>ЛЕНТА 10 ШТ МАРКИРОВКИ НАБОРН БУКВА Y</v>
          </cell>
        </row>
        <row r="88">
          <cell r="B88">
            <v>4200</v>
          </cell>
          <cell r="C88" t="str">
            <v>ШИНКА ЗАЗЕМЛЕНИЯ, 24 МОДУЛЯ</v>
          </cell>
        </row>
        <row r="89">
          <cell r="B89" t="str">
            <v>A9XPCM04</v>
          </cell>
          <cell r="C89" t="str">
            <v>4 СОЕДИНИТЕЛЯ ДЛЯ КАБЕЛЕЙ</v>
          </cell>
        </row>
        <row r="90">
          <cell r="B90">
            <v>4202</v>
          </cell>
          <cell r="C90" t="str">
            <v>2 ШИНКИ ЗАЗЕМЛЕНИЯ, 12 МОДУЛЕЙ</v>
          </cell>
        </row>
        <row r="91">
          <cell r="B91">
            <v>4210</v>
          </cell>
          <cell r="C91" t="str">
            <v>КОМПЛ. ШИНКИ ЗАНУЛЕНИЯ</v>
          </cell>
        </row>
        <row r="92">
          <cell r="B92" t="str">
            <v>A9XPH257</v>
          </cell>
          <cell r="C92" t="str">
            <v>ШИНКА ГРЕБЕНЧАТАЯ 2П (L1L2…) 57 МОД.18ММ 100А РАЗРЕЗАЕМАЯ</v>
          </cell>
        </row>
        <row r="93">
          <cell r="B93" t="str">
            <v>A9XPE110</v>
          </cell>
          <cell r="C93" t="str">
            <v>ЗАГЛУШКИ БОКОВЫЕ ДЛЯ ГРЕБЕНЧАТЫХ ШИНОК (A9X) 1П (10ШТ)</v>
          </cell>
        </row>
        <row r="94">
          <cell r="B94" t="str">
            <v>A9XPE310</v>
          </cell>
          <cell r="C94" t="str">
            <v>ЗАГЛУШКИ БОКОВЫЕ ДЛЯ ГРЕБЕНЧАТЫХ ШИНОК (A9X) 3П (10ШТ)</v>
          </cell>
        </row>
        <row r="95">
          <cell r="B95" t="str">
            <v>A9XPH157</v>
          </cell>
          <cell r="C95" t="str">
            <v>ШИНКА ГРЕБЕНЧАТАЯ 1П (L1…) 57 МОД.18ММ 100А РАЗРЕЗАЕМАЯ</v>
          </cell>
        </row>
        <row r="96">
          <cell r="B96" t="str">
            <v>A9XPH212</v>
          </cell>
          <cell r="C96" t="str">
            <v>гребенчатая шинка 2Р 100А 12 модулей</v>
          </cell>
        </row>
        <row r="97">
          <cell r="B97" t="str">
            <v>A9XPE210</v>
          </cell>
          <cell r="C97" t="str">
            <v>ЗАГЛУШКИ БОКОВЫЕ ДЛЯ ГРЕБЕНЧАТЫХ ШИНОК (A9X) 2П (10ШТ)</v>
          </cell>
        </row>
        <row r="98">
          <cell r="B98" t="str">
            <v>GV2G272</v>
          </cell>
          <cell r="C98" t="str">
            <v>КОМПЛЕКТ ТРЕХПОЛОСН.ШИН 63А 2Х72 ММ</v>
          </cell>
        </row>
        <row r="99">
          <cell r="B99" t="str">
            <v>GV2G472</v>
          </cell>
          <cell r="C99" t="str">
            <v>Комплект трехполосн.шин 63А 4х72 мм</v>
          </cell>
        </row>
        <row r="100">
          <cell r="B100" t="str">
            <v>GV2G245</v>
          </cell>
          <cell r="C100" t="str">
            <v>КОМПЛЕКТ ТРЕХПОЛОСН.ШИН 63А 2Х45 ММ</v>
          </cell>
        </row>
        <row r="101">
          <cell r="B101" t="str">
            <v>ATV630U07N4</v>
          </cell>
          <cell r="C101" t="str">
            <v>ПРЕОБР ЧАСТОТЫ 0.75КВТ 380-480В 3Ф</v>
          </cell>
        </row>
        <row r="102">
          <cell r="B102" t="str">
            <v>ATV630U07M3</v>
          </cell>
          <cell r="C102" t="str">
            <v>ПРЕОБР ЧАСТОТЫ 0.75КВТ 200-240В 3Ф</v>
          </cell>
        </row>
        <row r="103">
          <cell r="B103" t="str">
            <v>ATV312HD11N4</v>
          </cell>
          <cell r="C103" t="str">
            <v>ПРЕОБР ЧАСТОТЫ ATV312 11КВТ 500В 3Ф</v>
          </cell>
        </row>
        <row r="104">
          <cell r="B104" t="str">
            <v>VW3A3501</v>
          </cell>
          <cell r="C104" t="str">
            <v>КАРТА КОНТРОЛЛЕР ATV71</v>
          </cell>
        </row>
        <row r="105">
          <cell r="B105" t="str">
            <v>VW3CANTAP2</v>
          </cell>
          <cell r="C105" t="str">
            <v>CANOPEN MODBUS</v>
          </cell>
        </row>
        <row r="106">
          <cell r="B106" t="str">
            <v>VW3A3401</v>
          </cell>
          <cell r="C106" t="str">
            <v>КАРТА ИНТЕРФЕЙСА ДЛЯ 5 В RS422 ЭНКОДЕРА</v>
          </cell>
        </row>
        <row r="107">
          <cell r="B107" t="str">
            <v>ABE7R16T330</v>
          </cell>
          <cell r="C107" t="str">
            <v>TELEFAST БАЗА ПОД 16 СЪЕМНЫХ РЕЛЕ ШИРИНОЙ 12.5ММ</v>
          </cell>
        </row>
        <row r="108">
          <cell r="B108" t="str">
            <v>ABE7B20MPN22</v>
          </cell>
          <cell r="C108" t="str">
            <v>TELEFAST БАЗА ПАССИВ НА 12ВХ/8ВЫХ
=24В,СВТД,С ПРЕДОХР,ДЛЯ TWDLMDA20DTK/LMDA40DTK</v>
          </cell>
        </row>
        <row r="109">
          <cell r="B109" t="str">
            <v>ABE7H16C21</v>
          </cell>
          <cell r="C109" t="str">
            <v>TELEFAST БАЗА НА 16 ВХ/ВЫХ, ИНДИКАЦИЯ СОСТ.КАНАЛА, ВЫБОР ПОЛЯРН. 0 ИЛИ 24В</v>
          </cell>
        </row>
        <row r="110">
          <cell r="B110" t="str">
            <v>ABE7S16E2M0</v>
          </cell>
          <cell r="C110" t="str">
            <v>TELEFAST БАЗА НА 16 ДИСКР ВХОДОВ (~230В 50/60 ГЦ), С ГАЛЬВАНИЧЕСКОЙ РАЗВЯЗКОЙ</v>
          </cell>
        </row>
        <row r="111">
          <cell r="B111" t="str">
            <v>ABE7H16F43</v>
          </cell>
          <cell r="C111" t="str">
            <v>TELEFAST БАЗА 16 ВЫХ, ИНДИКАЦИЯ СОСТОЯНИЯ КАНАЛА, ИЗОЛЯТОР И ПРЕДОХР. НА КАНАЛ</v>
          </cell>
        </row>
        <row r="112">
          <cell r="B112" t="str">
            <v>ABE7H16S21</v>
          </cell>
          <cell r="C112" t="str">
            <v>TELEFAST БАЗА 16 ВХ/ВЫХ, ИНДИКАЦ СОСТ. КАНАЛА, ВЫБОР ПОЛЯРН. 0 ИЛИ 24В, ИЗОЛИР.</v>
          </cell>
        </row>
        <row r="113">
          <cell r="B113" t="str">
            <v>ABE7TES160</v>
          </cell>
          <cell r="C113" t="str">
            <v>СИМУЛЯТОР 16 КАНАЛОВ ВВОДА/ВЫВОДА</v>
          </cell>
        </row>
        <row r="114">
          <cell r="B114" t="str">
            <v>ABE7S16S1B2</v>
          </cell>
          <cell r="C114" t="str">
            <v>TELEFAST БАЗА НА 16 ДИСКРЕТНЫХ СТАТИЧЕСКИХ ВЫХОДОВ (24VDC/0.5 A)</v>
          </cell>
        </row>
        <row r="115">
          <cell r="B115" t="str">
            <v>ABE7P16T334</v>
          </cell>
          <cell r="C115" t="str">
            <v>TELEFAST БАЗА ПОД 16 СЪЕМ РЕЛЕ 12.5ММ, ПРЕДОХР. НА КАНАЛ (ЗАКАЗ РЕЛЕ ОТДЕЛЬНО)</v>
          </cell>
        </row>
        <row r="116">
          <cell r="B116" t="str">
            <v>ABE7CPA31</v>
          </cell>
          <cell r="C116" t="str">
            <v>TELEFAST - 8 ИЗОЛИР.КАНАЛОВ</v>
          </cell>
        </row>
        <row r="117">
          <cell r="B117" t="str">
            <v>ABE7CPA01</v>
          </cell>
          <cell r="C117" t="str">
            <v>TELEFAST БАЗА НА АНАЛОГОВЫЕ СИГНАЛЫ ДЛЯ TSX3722/CTZ*A (SUB-D15)</v>
          </cell>
        </row>
        <row r="118">
          <cell r="B118" t="str">
            <v>ABE7CPA03</v>
          </cell>
          <cell r="C118" t="str">
            <v>TELEFAST - 8 НЕ ИЗОЛИР. КАНАЛОВ</v>
          </cell>
        </row>
        <row r="119">
          <cell r="B119" t="str">
            <v>ABE7CPA12</v>
          </cell>
          <cell r="C119" t="str">
            <v>TELEFAST - 8 ТЕРМОПАР ДЛЯ AEY1614</v>
          </cell>
        </row>
        <row r="120">
          <cell r="B120" t="str">
            <v>ABE7H16R11</v>
          </cell>
          <cell r="C120" t="str">
            <v>TELEFAST БАЗА 16 КАНАЛОВ ВХ/ВЫХ, ИНДИКАЦИЯ СОСТОЯНИЯ КАНАЛА</v>
          </cell>
        </row>
        <row r="121">
          <cell r="B121" t="str">
            <v>ABE7CPA11</v>
          </cell>
          <cell r="C121" t="str">
            <v>TELEFAST - ДЛЯ АБСОЛЮТНЫХ КОДИРОВЩИКОВ</v>
          </cell>
        </row>
        <row r="122">
          <cell r="B122" t="str">
            <v>ABE7H16R21</v>
          </cell>
          <cell r="C122" t="str">
            <v>TELEFAST БАЗА 16 КАНАЛОВ ВХ/ВЫХ, ИНДИКАЦИЯ СОСТОЯНИЯ КАНАЛА</v>
          </cell>
        </row>
        <row r="123">
          <cell r="B123" t="str">
            <v>ABE7BV10</v>
          </cell>
          <cell r="C123" t="str">
            <v>TELEFAST ДОПОЛНИТЕЛЬНЫЙ КЛЕММНИК НА 10 ТОЧЕК, КОНТАКТЫ С ВИНТОВЫМ ЗАЖИМОМ</v>
          </cell>
        </row>
        <row r="124">
          <cell r="B124" t="str">
            <v>ABE7S16E2B1</v>
          </cell>
          <cell r="C124" t="str">
            <v>TELEFAST БАЗА НА 16 ДИСКРЕТНЫХ ВХОДОВ (=24В), С ГАЛЬВАНИЧЕСКОЙ РАЗВЯЗКОЙ</v>
          </cell>
        </row>
        <row r="125">
          <cell r="B125" t="str">
            <v>ABS7SC3BA</v>
          </cell>
          <cell r="C125" t="str">
            <v>РЕЛЕ СТАТИЧЕСКОЕ =24В 2А 12,5ММ</v>
          </cell>
        </row>
        <row r="126">
          <cell r="B126" t="str">
            <v>ABS7EA3M5</v>
          </cell>
          <cell r="C126" t="str">
            <v>TELEFAST РЕЛЕ СТАТИЧЕСКОЕ ~230/240В 12,5ММ</v>
          </cell>
        </row>
        <row r="127">
          <cell r="B127" t="str">
            <v>ABR7S21</v>
          </cell>
          <cell r="C127" t="str">
            <v>TELEFAST РЕЛЕ ЭЛЕКТРОМЕХАНИЧЕСКОЕ
=24В 1NO 5A 10ММ</v>
          </cell>
        </row>
        <row r="128">
          <cell r="B128" t="str">
            <v>ABS7SA3M</v>
          </cell>
          <cell r="C128" t="str">
            <v>TELEFAST РЕЛЕ СТАТИЧЕСКОЕ ~24-240В 2А 12,5ММ</v>
          </cell>
        </row>
        <row r="129">
          <cell r="B129" t="str">
            <v>ABS7EC3B2</v>
          </cell>
          <cell r="C129" t="str">
            <v>TELEFAST РЕЛЕ СТАТИЧЕСКОЕ =24В 12,5ММ</v>
          </cell>
        </row>
        <row r="130">
          <cell r="B130" t="str">
            <v>ABE7P16F312</v>
          </cell>
          <cell r="C130" t="str">
            <v>БАЗА ПОД 16 СЪЕМН.РЕЛЕ 12,5ММ ГРУПП</v>
          </cell>
        </row>
        <row r="131">
          <cell r="B131" t="str">
            <v>ABE7P16T330</v>
          </cell>
          <cell r="C131" t="str">
            <v>TELEFAST БАЗА НА 16 ВЫХ, СО СЪЕМНЫМИ ЭЛЕКТРОМЕХ. РЕЛЕ 12 ММ, 1 ПЕРЕКИДНОЙ</v>
          </cell>
        </row>
        <row r="132">
          <cell r="B132" t="str">
            <v>ABR7S33</v>
          </cell>
          <cell r="C132" t="str">
            <v>TELEFAST РЕЛЕ ЭЛЕКТРОМЕХАНИЧЕСКОЕ
=24В 1CO 10A 12,5ММ</v>
          </cell>
        </row>
        <row r="133">
          <cell r="B133" t="str">
            <v>490NRP25300</v>
          </cell>
          <cell r="C133" t="str">
            <v>ОПТОВОЛКОННЫЙ ПОВТОРИТЕЛЬ ДЛЯ MODBUS+ ТОЧКА-ТОЧКА</v>
          </cell>
        </row>
        <row r="134">
          <cell r="B134" t="str">
            <v>NWBP85002</v>
          </cell>
          <cell r="C134" t="str">
            <v>МОСТ MODBUS+ С РЕЗЕРВ. КАНАЛОМ</v>
          </cell>
        </row>
        <row r="135">
          <cell r="B135" t="str">
            <v>990NAD23021</v>
          </cell>
          <cell r="C135" t="str">
            <v>MODBUS PLUS SUPER TAP - МОНТАЖ НА ПАНЕЛЬ</v>
          </cell>
        </row>
        <row r="136">
          <cell r="B136" t="str">
            <v>490NRP25400</v>
          </cell>
          <cell r="C136" t="str">
            <v>ОПТОВОЛКОННЫЙ ПОВТОРИТЕЛЬ ДЛЯ MODBUS+ ОТВЕТВЛЕНИЕ</v>
          </cell>
        </row>
        <row r="137">
          <cell r="B137" t="str">
            <v>ABE7P16F310</v>
          </cell>
          <cell r="C137" t="str">
            <v>TELEFAST БАЗА ПОД 16 СЪЕМНЫХ РЕЛЕ ШИРИНОЙ 12,5ММ (ЗАКАЗ РЕЛЕ ОТДЕЛЬНО)</v>
          </cell>
        </row>
        <row r="138">
          <cell r="B138" t="str">
            <v>990NAD23011</v>
          </cell>
          <cell r="C138" t="str">
            <v>ДВА MODBUS PLUS ТЕРМИНАТОРА ДЛЯ 990-NAD-230-10 TAP, IP65</v>
          </cell>
        </row>
        <row r="139">
          <cell r="B139" t="str">
            <v>990NAD23020</v>
          </cell>
          <cell r="C139" t="str">
            <v>MODBUS PLUS SUPER TAP - МОНТАЖ НА DIN-РЕЙКУ</v>
          </cell>
        </row>
        <row r="140">
          <cell r="B140" t="str">
            <v>140CFX00110</v>
          </cell>
          <cell r="C140" t="str">
            <v>КОМПЛЕКТ ПЕРЕМЫЧЕК CABLE-FAST (10 ШТ.)</v>
          </cell>
        </row>
        <row r="141">
          <cell r="B141" t="str">
            <v>990NAD23022</v>
          </cell>
          <cell r="C141" t="str">
            <v>MODBUS PLUS SUPER TAP- ТЕРМИНАТОР</v>
          </cell>
        </row>
        <row r="142">
          <cell r="B142">
            <v>975951000</v>
          </cell>
          <cell r="C142" t="str">
            <v>КАБЕЛЬ RIO RG-11 305М.</v>
          </cell>
        </row>
        <row r="143">
          <cell r="B143" t="str">
            <v>TSXCSA100</v>
          </cell>
          <cell r="C143" t="str">
            <v>КАБЕЛЬ UTW 100М.</v>
          </cell>
        </row>
        <row r="144">
          <cell r="B144" t="str">
            <v>VW3A8306R10</v>
          </cell>
          <cell r="C144" t="str">
            <v>КАБЕЛЬ 1 M, 2X RJ45</v>
          </cell>
        </row>
        <row r="145">
          <cell r="B145" t="str">
            <v>VW3M8201R15</v>
          </cell>
          <cell r="C145" t="str">
            <v>КАБЕЛЬ ИМП/НАПР ESIM LXM05 1.5М</v>
          </cell>
        </row>
        <row r="146">
          <cell r="B146" t="str">
            <v>XBTZ925</v>
          </cell>
          <cell r="C146" t="str">
            <v>КОМПЛЕКТ КАБЕЛЕЙ ДЛЯ КОНВЕРТЕРА TSXCUSB485 ДЛЯ ЗАГР. ПРИЛОЖ. В ПАНЕЛИ XBT-N/R/RT</v>
          </cell>
        </row>
        <row r="147">
          <cell r="B147" t="str">
            <v>XBTZG935</v>
          </cell>
          <cell r="C147" t="str">
            <v>USB КАБЕЛЬ ДЛЯ ПРОГРАММИРОВАНИЯ XBT GT 1XX5 / 2000…7000</v>
          </cell>
        </row>
        <row r="148">
          <cell r="B148" t="str">
            <v>XBTZN999</v>
          </cell>
          <cell r="C148" t="str">
            <v>АДАПТЕР RJ45 ДЛЯ ИСПОЛЬЗОВАНИЯ КАБЕЛЯ XBTZ9780 СО СТАРЫМИ ВЕРСИЯМИ XBT N</v>
          </cell>
        </row>
        <row r="149">
          <cell r="B149" t="str">
            <v>XBTZ9980</v>
          </cell>
          <cell r="C149" t="str">
            <v>КАБЕЛЬ ДЛЯ ПОДКЛЮЧЕНИЯ XBT С RJ45, К ПЛК MODICON M340 (RJ45 / RJ45), 2,5М</v>
          </cell>
        </row>
        <row r="150">
          <cell r="B150" t="str">
            <v>VW3A8306R30</v>
          </cell>
          <cell r="C150" t="str">
            <v>КАБЕЛЬ 3 М, 2Х RJ45</v>
          </cell>
        </row>
        <row r="151">
          <cell r="B151" t="str">
            <v>VW3A1104R10</v>
          </cell>
          <cell r="C151" t="str">
            <v>1М КАБЕЛЬ ДЛЯ ГРАФИЧ ТЕРМИНАЛА</v>
          </cell>
        </row>
        <row r="152">
          <cell r="B152" t="str">
            <v>XBTZ9780</v>
          </cell>
          <cell r="C152" t="str">
            <v>КАБЕЛЬ ПЛК (MINI-DIN - RJ45) &lt;-&gt; XBT</v>
          </cell>
        </row>
        <row r="153">
          <cell r="B153" t="str">
            <v>VW3A8306D30</v>
          </cell>
          <cell r="C153" t="str">
            <v>2 СОЕДИНИТЕЛЬ RJ45 И ЗАЩИЩЕННЫЕ КОНЦЫ</v>
          </cell>
        </row>
        <row r="154">
          <cell r="B154" t="str">
            <v>XBTZ938</v>
          </cell>
          <cell r="C154" t="str">
            <v>КАБЕЛЬ TESYS, ATV &lt;-&gt; XBTN, 2.5M</v>
          </cell>
        </row>
        <row r="155">
          <cell r="B155" t="str">
            <v>TSXCDP501</v>
          </cell>
          <cell r="C155" t="str">
            <v>КАБЕЛЬ 1ХНЕ10, 0.34MM2, 5M</v>
          </cell>
        </row>
        <row r="156">
          <cell r="B156" t="str">
            <v>ABFT26B100</v>
          </cell>
          <cell r="C156" t="str">
            <v>КАБЕЛЬ ДЛЯ МОДУЛЬНОГО ПЛК TWIDO И БАЗОЙ TELEFAST, ДЛИНА 1M</v>
          </cell>
        </row>
        <row r="157">
          <cell r="B157" t="str">
            <v>BMXFTW301S</v>
          </cell>
          <cell r="C157" t="str">
            <v>КАБЕЛЬ FTB 20-ПРОВОД., 3М, SHIELDED</v>
          </cell>
        </row>
        <row r="158">
          <cell r="B158" t="str">
            <v>TSXCDP053</v>
          </cell>
          <cell r="C158" t="str">
            <v>КАБЕЛЬ TELEFAST, 2ХНЕ10, 0.34MM2, 0.5M</v>
          </cell>
        </row>
        <row r="159">
          <cell r="B159" t="str">
            <v>TSXCXP213</v>
          </cell>
          <cell r="C159" t="str">
            <v>КАБЕЛЬ TSXCAY* &lt;-&gt; TSXTAPMAS/ABE7CPA01, 2.5M</v>
          </cell>
        </row>
        <row r="160">
          <cell r="B160" t="str">
            <v>TSXSCPCD1030</v>
          </cell>
          <cell r="C160" t="str">
            <v>КАБЕЛЬ RS232D: SCP111 &lt;-&gt; ТОЧКА-ТОЧКА, 3M</v>
          </cell>
        </row>
        <row r="161">
          <cell r="B161" t="str">
            <v>SR2USB01</v>
          </cell>
          <cell r="C161" t="str">
            <v>ZELIO LOGIC КАБ. ДЛЯ СВЯЗИ С ПК ЧЕРЕЗ ПОРТ</v>
          </cell>
        </row>
        <row r="162">
          <cell r="B162" t="str">
            <v>XCCPM23121L10</v>
          </cell>
          <cell r="C162" t="str">
            <v>РАЗЪЕМ М23 С КАБЕЛЕМ 10 ЖИЛ</v>
          </cell>
        </row>
        <row r="163">
          <cell r="B163" t="str">
            <v>TSXCCPS15050</v>
          </cell>
          <cell r="C163" t="str">
            <v>КАБЕЛЬ ДЛЯ СЧЕТЧИКОВ/АНАЛОГОВЫХ КАНАЛОВ TSX37/TSX57, 0.5 М</v>
          </cell>
        </row>
        <row r="164">
          <cell r="B164" t="str">
            <v>TSXSCPCM4030</v>
          </cell>
          <cell r="C164" t="str">
            <v>КАБЕЛЬ MODBUS RS485: SCP114 &lt;-&gt; SCA50, 3M</v>
          </cell>
        </row>
        <row r="165">
          <cell r="B165" t="str">
            <v>TSXSCYCM6030</v>
          </cell>
          <cell r="C165" t="str">
            <v>КАБЕЛЬ MODBUS: SCY2160*(КАНАЛ 0)/SCY11601 &lt;-&gt; SCA50, 3M</v>
          </cell>
        </row>
        <row r="166">
          <cell r="B166" t="str">
            <v>ABFT20E200</v>
          </cell>
          <cell r="C166" t="str">
            <v>КАБЕЛЬ ДЛЯ MОДУЛЯ РАСШИРЕНИЯ TWIDO И БАЗОЙ TELEFAST, ДЛИНА 2M</v>
          </cell>
        </row>
        <row r="167">
          <cell r="B167" t="str">
            <v>TSXCBY030K</v>
          </cell>
          <cell r="C167" t="str">
            <v>КАБЕЛЬ РАСШИРЕНИЯ 3М ДЛЯ RKY*EX (ШИНА Х)</v>
          </cell>
        </row>
        <row r="168">
          <cell r="B168" t="str">
            <v>TSXCCPS15</v>
          </cell>
          <cell r="C168" t="str">
            <v>КАБЕЛЬ ДЛЯ СЧЕТЧИКОВ/АНАЛОГОВЫХ КАНАЛОВ (2XSUB-D15), 2.5M</v>
          </cell>
        </row>
        <row r="169">
          <cell r="B169" t="str">
            <v>BMXFCC303</v>
          </cell>
          <cell r="C169" t="str">
            <v>КАБЕЛЬ FCN -&gt; 2XHE 3М</v>
          </cell>
        </row>
        <row r="170">
          <cell r="B170" t="str">
            <v>BMXFCC503</v>
          </cell>
          <cell r="C170" t="str">
            <v>КАБЕЛЬ FCN -&gt; 2XHE 5М</v>
          </cell>
        </row>
        <row r="171">
          <cell r="B171" t="str">
            <v>BMXFCW503</v>
          </cell>
          <cell r="C171" t="str">
            <v>КАБЕЛЬ FCN 2X20-ПРОВОД., 5М</v>
          </cell>
        </row>
        <row r="172">
          <cell r="B172" t="str">
            <v>490NTW00005</v>
          </cell>
          <cell r="C172" t="str">
            <v>СОЕДИНИТ.КАБЕЛЬ ETHERNET ДВОЙНАЯ ВИТАЯ ПАРА В ЭКРАНЕ 2XRJ45, 5 М</v>
          </cell>
        </row>
        <row r="173">
          <cell r="B173" t="str">
            <v>990NAD21130</v>
          </cell>
          <cell r="C173" t="str">
            <v>КАБЕЛЬ ОТВЕТВЛЕНИЯ MODBUS+, ДЛЯ ЦЕНТРАЛЬНОГО СОЕДИНИТЕЛЯ, 6М</v>
          </cell>
        </row>
        <row r="174">
          <cell r="B174">
            <v>31147</v>
          </cell>
          <cell r="C174" t="str">
            <v>УСТР.ВВОД.РЕЗЕРВА INS250 4П</v>
          </cell>
        </row>
        <row r="175">
          <cell r="B175" t="str">
            <v>ABL6TS06B</v>
          </cell>
          <cell r="C175" t="str">
            <v>ТРАНСФОРМАТОР 230-400В 1X380В 63ВA</v>
          </cell>
        </row>
        <row r="176">
          <cell r="B176" t="str">
            <v>ABL6TS06U</v>
          </cell>
          <cell r="C176" t="str">
            <v>ТРАНСФОРМАТОР 230-400В 1X230В 63ВA</v>
          </cell>
        </row>
        <row r="177">
          <cell r="B177" t="str">
            <v>ABL6TS100U</v>
          </cell>
          <cell r="C177" t="str">
            <v>ТРАНСФОРМАТОР 230-400В 1X230В 1000ВA</v>
          </cell>
        </row>
        <row r="178">
          <cell r="B178" t="str">
            <v>ABL8FEQ24200</v>
          </cell>
          <cell r="C178" t="str">
            <v>PHASEO ИСТОЧНИК ПИТАНИЯ 1-ФАЗНЫЙ 230-400/24В 20A</v>
          </cell>
        </row>
        <row r="179">
          <cell r="B179" t="str">
            <v>CR1F500M7</v>
          </cell>
          <cell r="C179" t="str">
            <v>КОНТАКТОР С ЗАЩЕЛКОЙ СЕРИИ CR. 500А, 3Х ПОЛЮСНЫЙ,220В 50/60ГЦ, ВИНТОВОЙ ЗАЖИМ</v>
          </cell>
        </row>
        <row r="180">
          <cell r="B180" t="str">
            <v>LC1DWK12M7</v>
          </cell>
          <cell r="C180" t="str">
            <v>КОНТАКТОР ДЛЯ КОНДЕНСАТОРНЫХ БАТАРЕЙ 60КВАР 220В,50ГЦ</v>
          </cell>
        </row>
        <row r="181">
          <cell r="B181" t="str">
            <v>LV510434</v>
          </cell>
          <cell r="C181" t="str">
            <v>АВТ. ВЫКЛ. EasyPact CVS 100B 25kA 3P MA50</v>
          </cell>
        </row>
        <row r="182">
          <cell r="B182" t="str">
            <v>EZC100H3100</v>
          </cell>
          <cell r="C182" t="str">
            <v>Выключатель 100A 3 F</v>
          </cell>
        </row>
        <row r="183">
          <cell r="B183" t="str">
            <v>LC1F150M7</v>
          </cell>
          <cell r="C183" t="str">
            <v>КОНТАКТОР F 3P,150 A,220V 50/60 ГЦ,</v>
          </cell>
        </row>
        <row r="184">
          <cell r="B184" t="str">
            <v>EZC100N3025</v>
          </cell>
          <cell r="C184" t="str">
            <v>АВТ. ВЫКЛ. EZC100 18 кА/380 В 3П3T 25 A</v>
          </cell>
        </row>
        <row r="185">
          <cell r="B185" t="str">
            <v>LV429408</v>
          </cell>
          <cell r="C185" t="str">
            <v>РАСЦЕП.МИН.НАПРЯЖ. MN 380/440В 50/60ГЦ</v>
          </cell>
        </row>
        <row r="186">
          <cell r="B186" t="str">
            <v>LV429434</v>
          </cell>
          <cell r="C186" t="str">
            <v>МОТОР-РЕД MT100/160 220/240В 50/60ГЦ</v>
          </cell>
        </row>
        <row r="187">
          <cell r="B187" t="str">
            <v>LV431541</v>
          </cell>
          <cell r="C187" t="str">
            <v>МОТОР-РЕД МT250 220/240В 50/60ГЦ</v>
          </cell>
        </row>
        <row r="188">
          <cell r="B188" t="str">
            <v>GV2ME02</v>
          </cell>
          <cell r="C188" t="str">
            <v>АВТОМАТИЧЕСКИЙ ВЫКЛЮЧАТЕЛЬ С КОМБИНИРОВАННЫМ   РАСЦЕПИТЕЛЕМ 0,16-0,25А</v>
          </cell>
        </row>
        <row r="189">
          <cell r="B189" t="str">
            <v>GV2ME04</v>
          </cell>
          <cell r="C189" t="str">
            <v>АВТОМАТИЧЕСКИЙ ВЫКЛЮЧАТЕЛЬ С КОМБИНИРОВАННЫМ   РАСЦЕПИТЕЛЕМ 0,40-0,63А</v>
          </cell>
        </row>
        <row r="190">
          <cell r="B190" t="str">
            <v>LP1K09008MD</v>
          </cell>
          <cell r="C190" t="str">
            <v>КОНТАКТОР.4Р(2НО + 2НЗ),AC1,20A,220V DС</v>
          </cell>
        </row>
        <row r="191">
          <cell r="B191" t="str">
            <v>LC1D09MD</v>
          </cell>
          <cell r="C191" t="str">
            <v>КОНТАКТОР.3Р,9A,НО+НЗ,220V-,ОГРАН.</v>
          </cell>
        </row>
        <row r="192">
          <cell r="B192" t="str">
            <v>LP5K0601BW3</v>
          </cell>
          <cell r="C192" t="str">
            <v>КОНТАКТОР РЕВЕРС.3P,6А,НЗ,24V DC 1.8ВТ</v>
          </cell>
        </row>
        <row r="193">
          <cell r="B193" t="str">
            <v>LP4K0610BW3</v>
          </cell>
          <cell r="C193" t="str">
            <v>КОНТАКТОР.3P,6А,НО,24V   DC,ЗАЖИМ П/ВИНТ</v>
          </cell>
        </row>
        <row r="194">
          <cell r="B194" t="str">
            <v>LC1E3210B5</v>
          </cell>
          <cell r="C194" t="str">
            <v>КОНТАКТОР TVS 1НО 32А 400В AC3 24В 50ГЦ</v>
          </cell>
        </row>
        <row r="195">
          <cell r="B195" t="str">
            <v>LC1K1210B7</v>
          </cell>
          <cell r="C195" t="str">
            <v>КОНТАКТОР K 3P,12 A,НО,24V 50/60 ГЦ,ЗАЖИМ ПОД ВИНТ</v>
          </cell>
        </row>
        <row r="196">
          <cell r="B196" t="str">
            <v>LA4KC1B</v>
          </cell>
          <cell r="C196" t="str">
            <v>ДИОД Z DC 12-24V</v>
          </cell>
        </row>
        <row r="197">
          <cell r="B197" t="str">
            <v>LC1D09M7</v>
          </cell>
          <cell r="C197" t="str">
            <v>КОНТАКТОР.3Р,9A,НО+НЗ,220V50ГЦ.</v>
          </cell>
        </row>
        <row r="198">
          <cell r="B198" t="str">
            <v>LC1E0910M5</v>
          </cell>
          <cell r="C198" t="str">
            <v>КОНТАКТОР E 1НО 9А 400В AC3 220В 50ГЦ</v>
          </cell>
        </row>
        <row r="199">
          <cell r="B199" t="str">
            <v>LC1D18M7</v>
          </cell>
          <cell r="C199" t="str">
            <v>КОНТАКТОР.3Р,18A,НО+НЗ,230V50ГЦ.ПРУЖ.</v>
          </cell>
        </row>
        <row r="200">
          <cell r="B200" t="str">
            <v>LC1E0610M7</v>
          </cell>
          <cell r="C200" t="str">
            <v>КОНТАКТОР E 1НО 6А 400В AC3 220В 50/60ГЦ</v>
          </cell>
        </row>
        <row r="201">
          <cell r="B201" t="str">
            <v>LV429070</v>
          </cell>
          <cell r="C201" t="str">
            <v>3П3T MICR.2.2 100A РАСЦЕП. NSX100/250</v>
          </cell>
        </row>
        <row r="202">
          <cell r="B202" t="str">
            <v>LV429408</v>
          </cell>
          <cell r="C202" t="str">
            <v>РАСЦЕП.МИН.НАПРЯЖ. MN 380/440В 50/60ГЦ</v>
          </cell>
        </row>
        <row r="203">
          <cell r="B203" t="str">
            <v>TSXDEY32D2K</v>
          </cell>
          <cell r="C203" t="str">
            <v>32 ДИСКР.ВХ. =24В, ТИП 1, TELEFAST</v>
          </cell>
        </row>
        <row r="204">
          <cell r="B204" t="str">
            <v>170ADO34000</v>
          </cell>
          <cell r="C204" t="str">
            <v>MOMENTUM ДИСКРЕТН., 16 ТРАНЗИСТ. ВЫХ., 0.5A (2X8), =24В</v>
          </cell>
        </row>
        <row r="205">
          <cell r="B205" t="str">
            <v>TSXAEY800</v>
          </cell>
          <cell r="C205" t="str">
            <v>8 АНАЛОГ.ВХ., ТОК, НАПРЯЖЕНИЕ, 12 БИТ,
1 СОЕДИНИТЕЛЬ SUB-D, ОБЩ.ТОЧКА</v>
          </cell>
        </row>
        <row r="206">
          <cell r="B206" t="str">
            <v>TSXDEY08D2</v>
          </cell>
          <cell r="C206" t="str">
            <v>8 ДИСКР.ВХ. =24В, ТИП 2, КЛЕММНИК</v>
          </cell>
        </row>
        <row r="207">
          <cell r="B207" t="str">
            <v>170ADI35000</v>
          </cell>
          <cell r="C207" t="str">
            <v>MOMENTUM ДИСКРЕТН., 32 ВХ. (2X16), =24В</v>
          </cell>
        </row>
        <row r="208">
          <cell r="B208" t="str">
            <v>170PNT11020</v>
          </cell>
          <cell r="C208" t="str">
            <v>КОММУНИКАЦ.АДАПТЕР MOMENTUM, MODBUS+, БЕЗ РЕЗЕРВ., IEC FORMAT</v>
          </cell>
        </row>
        <row r="209">
          <cell r="B209" t="str">
            <v>170ADM37010</v>
          </cell>
          <cell r="C209" t="str">
            <v>MOMENTUM ДИСКРЕТН., 16 ВХ. / 8 ТРАНЗИСТ.ВЫХ., 2.0A (2X4), =24В</v>
          </cell>
        </row>
        <row r="210">
          <cell r="B210" t="str">
            <v>170FNT11001</v>
          </cell>
          <cell r="C210" t="str">
            <v>КОММУНИКАЦ.АДАПТЕР MOMENTUM, FIPIO ДЛЯ TSX57 PREMIUM</v>
          </cell>
        </row>
        <row r="211">
          <cell r="B211" t="str">
            <v>TSXDEY16FK</v>
          </cell>
          <cell r="C211" t="str">
            <v>16 ДИСКР.ВХ. =24В, ТИП 1, TELEFAST, БЫСТРЫЙ</v>
          </cell>
        </row>
        <row r="212">
          <cell r="B212" t="str">
            <v>170INT11000</v>
          </cell>
          <cell r="C212" t="str">
            <v>КОММУНИКАЦ.АДАПТЕР MOMENTUM, INTERBUS SUPI 2 (I/O BUS) E-CABLE</v>
          </cell>
        </row>
        <row r="213">
          <cell r="B213" t="str">
            <v>170PNT11020</v>
          </cell>
          <cell r="C213" t="str">
            <v>КОММУНИКАЦ.АДАПТЕР MOMENTUM, MODBUS+</v>
          </cell>
        </row>
        <row r="214">
          <cell r="B214" t="str">
            <v>VVD0</v>
          </cell>
          <cell r="C214" t="str">
            <v>ТРЕХ ГЛАВНЫЙ/АВАРИЙНЫЙ ВЫКЛЮЧАТЕЛЬ-РАЗЪЕДИНИТЕЛЬ УСТАНОВКА В ЭЛЕКТРОШКАФ 25 А</v>
          </cell>
        </row>
        <row r="215">
          <cell r="B215" t="str">
            <v>LV429337</v>
          </cell>
          <cell r="C215" t="str">
            <v>СТАНД.ПОВОРОТ.ЧЕРН. РУКОЯТКА (NSX100/250)</v>
          </cell>
        </row>
        <row r="216">
          <cell r="B216" t="str">
            <v>EZAROTDS</v>
          </cell>
          <cell r="C216" t="str">
            <v>СТАНДАРТНАЯ ПОВОРОТНАЯ РУКОЯТКА EZC100</v>
          </cell>
        </row>
        <row r="217">
          <cell r="B217" t="str">
            <v>LA9D0902</v>
          </cell>
          <cell r="C217" t="str">
            <v>БЛОКИРОВКА ДЛЯ 3P РЕВЕРСИВНОГО КОНТАКТОРА LC1/LP1 D09/D12/D18/D25/D32/D38</v>
          </cell>
        </row>
        <row r="218">
          <cell r="B218" t="str">
            <v>K1F006ALH</v>
          </cell>
          <cell r="C218" t="str">
            <v>КУЛАЧКОВЫЙ ПЕРЕК. 12А 2 ПОЗИЦИИ</v>
          </cell>
        </row>
        <row r="219">
          <cell r="B219" t="str">
            <v>K1F013ULH</v>
          </cell>
          <cell r="C219" t="str">
            <v>КУЛАЧКОВЫЙ ПЕРЕК. 12А 2 ПОЗИЦИИ</v>
          </cell>
        </row>
        <row r="220">
          <cell r="B220" t="str">
            <v>K1D004NLH</v>
          </cell>
          <cell r="C220" t="str">
            <v>КУЛАЧКОВЫЙ ПЕРЕК. 12А 4 ПОЗИЦИИ</v>
          </cell>
        </row>
        <row r="221">
          <cell r="B221" t="str">
            <v>KZ65</v>
          </cell>
          <cell r="C221" t="str">
            <v>УПЛОТНИТЕЛЬ РУЧКИ УПР. 45?45ММ (5ШТ)</v>
          </cell>
        </row>
        <row r="222">
          <cell r="B222" t="str">
            <v>K2D012U</v>
          </cell>
          <cell r="C222" t="str">
            <v>КУЛАЧКОВЫЙ ПЕРЕК. 22ММ 20А 2 ПОЗИЦИИ</v>
          </cell>
        </row>
        <row r="223">
          <cell r="B223" t="str">
            <v>K1B006T</v>
          </cell>
          <cell r="C223" t="str">
            <v>К1 КОНТАКТНЫЙ БЛОК</v>
          </cell>
        </row>
        <row r="224">
          <cell r="B224" t="str">
            <v>K1B002NLH</v>
          </cell>
          <cell r="C224" t="str">
            <v>КУЛАЧКОВЫЙ ПЕРЕКЛ. 12А 2 ПОЗИЦИИ K1B002NLH</v>
          </cell>
        </row>
        <row r="225">
          <cell r="B225" t="str">
            <v>K10D012UCH</v>
          </cell>
          <cell r="C225" t="str">
            <v>КУЛАЧКОВЫЙ ВЫКЛ 10А 2 ПОЗИЦИИ K10D012UCH</v>
          </cell>
        </row>
        <row r="226">
          <cell r="B226" t="str">
            <v>25051DEK</v>
          </cell>
          <cell r="C226" t="str">
            <v>Перекл. на 2 фикс. полож. I-O станд. ручка 1НО+1НЗ</v>
          </cell>
        </row>
        <row r="227">
          <cell r="B227" t="str">
            <v>25052DEK</v>
          </cell>
          <cell r="C227" t="str">
            <v>Перекл. на 3 фикс. полож. I-O-II станд. ручка 1НО+1</v>
          </cell>
        </row>
        <row r="228">
          <cell r="B228" t="str">
            <v>140CRP93200</v>
          </cell>
          <cell r="C228" t="str">
            <v>ПРОЦЕССОР УДАЛЕННОГО В/В RIO, ДВОЙНОЙ КАБЕЛЬ</v>
          </cell>
        </row>
        <row r="229">
          <cell r="B229" t="str">
            <v>140NOE77111</v>
          </cell>
          <cell r="C229" t="str">
            <v>МОДУЛЬ FACTORYCAST HMI КОНТРОЛЛЕРА TSX QUANTUM</v>
          </cell>
        </row>
        <row r="230">
          <cell r="B230" t="str">
            <v>140CHS32000</v>
          </cell>
          <cell r="C230" t="str">
            <v>НАБОР СОЕДИНИТЕЛЕЙ ГОРЯЧЕГО РЕЗЕРВА (ВХ. В КОМПЛЕКТ)</v>
          </cell>
        </row>
        <row r="231">
          <cell r="B231" t="str">
            <v>140CPS11420</v>
          </cell>
          <cell r="C231" t="str">
            <v>МОДУЛЬ ПИТАНИЯ, ~120/230В, 11A, АВТОНОМ. ИЛИ СУММ.</v>
          </cell>
        </row>
        <row r="232">
          <cell r="B232" t="str">
            <v>140CPS22400</v>
          </cell>
          <cell r="C232" t="str">
            <v>МОДУЛЬ ПИТАНИЯ, =24В,8A,АВТОНОМ. ИЛИ РЕЗЕРВ</v>
          </cell>
        </row>
        <row r="233">
          <cell r="B233" t="str">
            <v>140CPU31110</v>
          </cell>
          <cell r="C233" t="str">
            <v>ЦПУ QUANTUM ОЗУ 400K, 20K РЕГ.,1XMBUS/1ХMBUS+</v>
          </cell>
        </row>
        <row r="234">
          <cell r="B234" t="str">
            <v>140ACO02000</v>
          </cell>
          <cell r="C234" t="str">
            <v>АНАЛОГ. ВЫХ., 4 КАНАЛА, 4-20MA, 1-5В, 12 БИТ, 500В РАЗВ.</v>
          </cell>
        </row>
        <row r="235">
          <cell r="B235" t="str">
            <v>140DAO84210</v>
          </cell>
          <cell r="C235" t="str">
            <v>ДИСКРЕТН. ВЫХ. ~100-230В, 16 (4X4), 4A</v>
          </cell>
        </row>
        <row r="236">
          <cell r="B236" t="str">
            <v>140DDI35310</v>
          </cell>
          <cell r="C236" t="str">
            <v>ДИСКРЕТН. ВХ. =24В, 32 (4X8), ИСТ.</v>
          </cell>
        </row>
        <row r="237">
          <cell r="B237" t="str">
            <v>140XBE10000</v>
          </cell>
          <cell r="C237" t="str">
            <v>МОДУЛЬ РАСШИРЕНИЯ ШАССИ</v>
          </cell>
        </row>
        <row r="238">
          <cell r="B238" t="str">
            <v>140DDI35300</v>
          </cell>
          <cell r="C238" t="str">
            <v>ДИСКРЕТН. ВХ. =24В, 32 (4X8), ПР-К</v>
          </cell>
        </row>
        <row r="239">
          <cell r="B239" t="str">
            <v>140DDO35300</v>
          </cell>
          <cell r="C239" t="str">
            <v>ДИСКРЕТН. ВЫХ. =24В, 32 (4X8)</v>
          </cell>
        </row>
        <row r="240">
          <cell r="B240" t="str">
            <v>140ARI03010</v>
          </cell>
          <cell r="C240" t="str">
            <v>АНАЛОГ. ВХ., 8 ТСП 2/3/4 ПРОВ., PT100- 1000,NI100-1000, 13 БИТ</v>
          </cell>
        </row>
        <row r="241">
          <cell r="B241" t="str">
            <v>140XCP50000</v>
          </cell>
          <cell r="C241" t="str">
            <v>ПУСТОЙ МОДУЛЬ (БЕЗ КЛЕММНОЙ КОЛОДКИ)</v>
          </cell>
        </row>
        <row r="242">
          <cell r="B242" t="str">
            <v>170XTS00100</v>
          </cell>
          <cell r="C242" t="str">
            <v>КЛЕММНИК ПОД ВИНТ ДЛЯ РАЗВОДКИ ПРОВОДОВ, 2.5MM2, 18 КЛЕММ /3ШТ./</v>
          </cell>
        </row>
        <row r="243">
          <cell r="B243" t="str">
            <v>TSXCAPS15</v>
          </cell>
          <cell r="C243" t="str">
            <v>ШТЕКЕР S15 (ДЛЯ SUB-D15) /ЦЕНА ЗА 2 ШТ./</v>
          </cell>
        </row>
        <row r="244">
          <cell r="B244" t="str">
            <v>TSXCPP110</v>
          </cell>
          <cell r="C244" t="str">
            <v>PCMCIA КАРТА МАСТЕРА ШИНЫ CANOPEN ДЛЯ TSX37/57 (V3)</v>
          </cell>
        </row>
        <row r="245">
          <cell r="B245" t="str">
            <v>TSXETG1000</v>
          </cell>
          <cell r="C245" t="str">
            <v>ИНТЕЛЛЕКТУАЛЬНЫЙ ШЛЮЗ MODBUS &lt;-&gt; ETHERNET С WEB-СЕРВЕРОМ</v>
          </cell>
        </row>
        <row r="246">
          <cell r="B246" t="str">
            <v>140NOM21100</v>
          </cell>
          <cell r="C246" t="str">
            <v>ГОЛОВНОЙ ПРОЦЕССОР MODBUS+, 1 КАНАЛ</v>
          </cell>
        </row>
        <row r="247">
          <cell r="B247" t="str">
            <v>140AVI03000</v>
          </cell>
          <cell r="C247" t="str">
            <v>АНАЛОГ. ВХ., 8 БИПОЛ. (8X1) 0-20MA, +/- 20MA,+/-10V, 16 БИТ</v>
          </cell>
        </row>
        <row r="248">
          <cell r="B248" t="str">
            <v>140ACO13000</v>
          </cell>
          <cell r="C248" t="str">
            <v>АНАЛОГ. ВЫХ., 8 КАНАЛОВ, 0/4..20/25MA, 13 БИТ, 500В РАЗВ.</v>
          </cell>
        </row>
        <row r="249">
          <cell r="B249" t="str">
            <v>140ARI03010</v>
          </cell>
          <cell r="C249" t="str">
            <v>АНАЛОГ. ВХ., 8 ТСП 2/3/4 ПРОВ., PT100- 1000,NI100-1000, 13 БИТ</v>
          </cell>
        </row>
        <row r="250">
          <cell r="B250" t="str">
            <v>140DDI36400</v>
          </cell>
          <cell r="C250" t="str">
            <v>ДИСКРЕТН. ВХ. =24В, 96 (6X16), ПР-К</v>
          </cell>
        </row>
        <row r="251">
          <cell r="B251" t="str">
            <v>140DDO84300</v>
          </cell>
          <cell r="C251" t="str">
            <v>ДИСКРЕТН. ВЫХ. 10-60V DC, 16 (2X8), 2A, ИСТ.</v>
          </cell>
        </row>
        <row r="252">
          <cell r="B252" t="str">
            <v>140CPS11100</v>
          </cell>
          <cell r="C252" t="str">
            <v>МОДУЛЬ ПИТАНИЯ, ~120/230В, 3A, АВТОНОМ.</v>
          </cell>
        </row>
        <row r="253">
          <cell r="B253" t="str">
            <v>140CPS21400</v>
          </cell>
          <cell r="C253" t="str">
            <v>МОДУЛЬ ПИТАНИЯ, =24В,8A,АВТОНОМ. ИЛИ СУММ.</v>
          </cell>
        </row>
        <row r="254">
          <cell r="B254" t="str">
            <v>140XCP51000</v>
          </cell>
          <cell r="C254" t="str">
            <v>ПУСТОЙ МОДУЛЬ (С ДВЕРЦЕЙ)</v>
          </cell>
        </row>
        <row r="255">
          <cell r="B255" t="str">
            <v>140DDO35310</v>
          </cell>
          <cell r="C255" t="str">
            <v>ДИСКРЕТН. ВЫХ. =24В, 32 (4X8), 0.5A, ПР-К</v>
          </cell>
        </row>
        <row r="256">
          <cell r="B256" t="str">
            <v>LA9FJ970</v>
          </cell>
          <cell r="C256" t="str">
            <v>БЛОКИРОВКА КОНТАКТОРА F265(4),F330(4),F400(4),F500(4) ГОРИЗОНТАЛЬНОЙ УСТАНОВКИ</v>
          </cell>
        </row>
        <row r="257">
          <cell r="B257" t="str">
            <v>LA9FK976</v>
          </cell>
          <cell r="C257" t="str">
            <v>СИЛОВОЕ СОЕДИНЕНИЕ ДЛЯ 3P РЕВЕРСИВНОГО КОНТАКТОРА LC1 F500</v>
          </cell>
        </row>
        <row r="258">
          <cell r="B258" t="str">
            <v>LAEM1</v>
          </cell>
          <cell r="C258" t="str">
            <v>МЕХАНИЧЕСКИЕ БЛОКИРАТОРЫ TESYS E 6 65</v>
          </cell>
        </row>
        <row r="259">
          <cell r="B259" t="str">
            <v>LUB12</v>
          </cell>
          <cell r="C259" t="str">
            <v>СИЛОВ БЛОК 12А С КЛЕММНИКОМ ДОП КОНТ</v>
          </cell>
        </row>
        <row r="260">
          <cell r="B260" t="str">
            <v>RMCV60BD</v>
          </cell>
          <cell r="C260" t="str">
            <v>ПРЕОБРАЗОВАТЕЛЬ С ГАЛЬВАНИЧЕСКОЙ РАЗВЯЗКОЙ, ВХОДНОЙ ДИАПАЗОН 0-500В</v>
          </cell>
        </row>
        <row r="261">
          <cell r="B261" t="str">
            <v>XCKD2110G11</v>
          </cell>
          <cell r="C261" t="str">
            <v>КОНЦЕВОЙ ВЫКЛЮЧАТЕЛЬ 1НО1НЗ ВВОД PG11</v>
          </cell>
        </row>
        <row r="262">
          <cell r="B262">
            <v>8936</v>
          </cell>
          <cell r="C262" t="str">
            <v>РУЧКА С ЗАМКОМ + 2 КЛЮЧА 405, IP55</v>
          </cell>
        </row>
        <row r="263">
          <cell r="B263" t="str">
            <v>NSYAEDL405S3D</v>
          </cell>
          <cell r="C263" t="str">
            <v>ЗАМОК С КЛЮЧОМ 405 ДЛЯ S3D</v>
          </cell>
        </row>
        <row r="264">
          <cell r="B264" t="str">
            <v>NSYAEDL455S3D</v>
          </cell>
          <cell r="C264" t="str">
            <v>ЗАМОК С КЛЮЧОМ 455 ДЛЯ S3D</v>
          </cell>
        </row>
        <row r="265">
          <cell r="B265" t="str">
            <v>NSYAEDL3113S3D</v>
          </cell>
          <cell r="C265" t="str">
            <v>ЗАМОК С КЛЮЧОМ 3113А ДЛЯ S3D</v>
          </cell>
        </row>
        <row r="266">
          <cell r="B266" t="str">
            <v>XCKN2110P20</v>
          </cell>
          <cell r="C266" t="str">
            <v>КОНЦЕВОЙ ВЫКЛЮЧАТЕЛЬ МЕТАЛ ПЛУНЖЕР ДВУХПОЛЯРНЫЙ N/C+N/O</v>
          </cell>
        </row>
        <row r="267">
          <cell r="B267" t="str">
            <v>NSYAEDL1242S3D</v>
          </cell>
          <cell r="C267" t="str">
            <v>РУЧКА С КНОПКОЙ И ЗАМКОМ 1242Е ДЛЯ S3D</v>
          </cell>
        </row>
        <row r="268">
          <cell r="B268" t="str">
            <v>NSYDCM20</v>
          </cell>
          <cell r="C268" t="str">
            <v>ДВЕРНОЙ ВЫКЛЮЧАТЕЛЬ 10A</v>
          </cell>
        </row>
        <row r="269">
          <cell r="B269" t="str">
            <v>NSYIN1242E1</v>
          </cell>
          <cell r="C269" t="str">
            <v>ЦИЛИНДР. ЛИЧИНКА КЛЮЧ 1224Е</v>
          </cell>
        </row>
        <row r="270">
          <cell r="B270" t="str">
            <v>NSYCAF291</v>
          </cell>
          <cell r="C270" t="str">
            <v>СМЕННЫЙ СТАНД. ФИЛЬТР 212Х212 5 ШТ</v>
          </cell>
        </row>
        <row r="271">
          <cell r="B271" t="str">
            <v>NSYCAF125</v>
          </cell>
          <cell r="C271" t="str">
            <v>СМЕННЫЙ СТАНД. ФИЛЬТР 114Х114 5 ШТ</v>
          </cell>
        </row>
        <row r="272">
          <cell r="B272" t="str">
            <v>NSYAEDRS3DPA6</v>
          </cell>
          <cell r="C272" t="str">
            <v>РУЧКА С ЛИЧИНКОЙ</v>
          </cell>
        </row>
        <row r="273">
          <cell r="B273" t="str">
            <v>NSYCAG223LPF</v>
          </cell>
          <cell r="C273" t="str">
            <v>ВЫПУСКНАЯ РЕШЕТКА 223Х223 ЦВЕТ RAL7035</v>
          </cell>
        </row>
        <row r="274">
          <cell r="B274" t="str">
            <v>NSYCAF223</v>
          </cell>
          <cell r="C274" t="str">
            <v>СМЕННЫЙ СТАНД. ФИЛЬТР 212Х212 5 ШТ</v>
          </cell>
        </row>
        <row r="275">
          <cell r="B275" t="str">
            <v>ABL8MEM05040</v>
          </cell>
          <cell r="C275" t="str">
            <v>PHASEO МОДУЛЬНЫЙ БЛОК ПИТАНИЯ 1- ФАЗНЫЙ ~100..240В И =120..250В/=5В 4A</v>
          </cell>
        </row>
        <row r="276">
          <cell r="B276" t="str">
            <v>ABL8RPS24100</v>
          </cell>
          <cell r="C276" t="str">
            <v>Блок питания универсал 1-фазный 24В 10А</v>
          </cell>
        </row>
        <row r="277">
          <cell r="B277" t="str">
            <v>ABL8RED24400</v>
          </cell>
          <cell r="C277" t="str">
            <v>PHASEO МОДУЛЬ РЕЗЕРВИРОВАНИЯ ПИТАНИЯ 40A</v>
          </cell>
        </row>
        <row r="278">
          <cell r="B278" t="str">
            <v>BMXDDO1612</v>
          </cell>
          <cell r="C278" t="str">
            <v>16 ВЫХОДОВ, ТРАНЗИСТОР, 0.5А, SINK</v>
          </cell>
        </row>
        <row r="279">
          <cell r="B279" t="str">
            <v>AK5PC33</v>
          </cell>
          <cell r="C279" t="str">
            <v>СЪЕМНЫЙ СИЛОВОЙ РАЗЪЕМ 32А,3Ф, ДЛИНА КАБЕЛЯ 250 ММ</v>
          </cell>
        </row>
        <row r="280">
          <cell r="B280" t="str">
            <v>BMXFTB2010</v>
          </cell>
          <cell r="C280" t="str">
            <v>КОННЕКТОР, 20 КЛЕМИМ, ВИНТ</v>
          </cell>
        </row>
        <row r="281">
          <cell r="B281" t="str">
            <v>TM2AMO1HT</v>
          </cell>
          <cell r="C281" t="str">
            <v>МОДУЛЬ АНАЛОГ 1ВЫХ 0-10В/4-20МА 12БИТ</v>
          </cell>
        </row>
        <row r="282">
          <cell r="B282" t="str">
            <v>TM2DDO32TK</v>
          </cell>
          <cell r="C282" t="str">
            <v>МОДУЛЬ РАСШИРЕНИЯ 32ВЫХ СТ, РАЗЪЕМ НЕ10</v>
          </cell>
        </row>
        <row r="283">
          <cell r="B283" t="str">
            <v>TM2DDI16DT</v>
          </cell>
          <cell r="C283" t="str">
            <v>МОДУЛЬ РАСШИРЕНИЯ 16ВХ =24В КЛЕМ. БЛОК</v>
          </cell>
        </row>
        <row r="284">
          <cell r="B284" t="str">
            <v>TM2DDI32DK</v>
          </cell>
          <cell r="C284" t="str">
            <v>МОДУЛЬ РАСШИРЕНИЯ 32ВХ =24В РАЗЪЕМ НЕ10</v>
          </cell>
        </row>
        <row r="285">
          <cell r="B285" t="str">
            <v>PM710MG</v>
          </cell>
          <cell r="C285" t="str">
            <v>ИЗМЕРИТЕЛЬ МОЩНОСТИ, МНОГОФУНКЦ., PM710MG</v>
          </cell>
        </row>
        <row r="286">
          <cell r="B286" t="str">
            <v>490NOR00003</v>
          </cell>
          <cell r="C286" t="str">
            <v>ОПТОВОЛОКОННЫЙ КАБЕЛЬ С MT/RJ- MT/RJ РАЗЪЕМАМИ НА КОНЦАХ, 3М.</v>
          </cell>
        </row>
        <row r="287">
          <cell r="B287" t="str">
            <v>CCTDD20003</v>
          </cell>
          <cell r="C287" t="str">
            <v>STD1000RL ДИММЕР 1000ВТ STD1000RL- DIN ОДИНОЧНЫЙ</v>
          </cell>
        </row>
        <row r="288">
          <cell r="B288" t="str">
            <v>TCSESM083F2CU0</v>
          </cell>
          <cell r="C288" t="str">
            <v>КОММУТАТОР CONNEXIUM (MANAGED) 6TX/2FX-MM</v>
          </cell>
        </row>
        <row r="289">
          <cell r="B289" t="str">
            <v>XBTN200</v>
          </cell>
          <cell r="C289" t="str">
            <v>MAGELIS КОМПАКТНЫЙ СИМВОЛЬНЫЙ ДИСПЛЕЙ, 2X20 СИМВ., ПИТАНИЕ ОТ ПЛК</v>
          </cell>
        </row>
        <row r="290">
          <cell r="B290" t="str">
            <v>NSYCCOTHO</v>
          </cell>
          <cell r="C290" t="str">
            <v>ТЕРМОСТАТ С НО КОНТАКТОМ</v>
          </cell>
        </row>
        <row r="291">
          <cell r="B291" t="str">
            <v>TWDXCAISO</v>
          </cell>
          <cell r="C291" t="str">
            <v>МОДУЛЬ С ГАЛЬВАНИЧЕСКОЙ РАЗВЯЗКОЙ MODBUS</v>
          </cell>
        </row>
        <row r="292">
          <cell r="B292" t="str">
            <v>TSXSCA50</v>
          </cell>
          <cell r="C292" t="str">
            <v>КОРОБКА РАЗВЕТВЛЕНИЯ</v>
          </cell>
        </row>
        <row r="293">
          <cell r="B293" t="str">
            <v>MA0185100</v>
          </cell>
          <cell r="C293" t="str">
            <v>ОТВЕТВИТЕЛЬ (TAP) ДЛЯ КОАКС. КАБЕЛЯ S908</v>
          </cell>
        </row>
        <row r="294">
          <cell r="B294" t="str">
            <v>140XBP00400</v>
          </cell>
          <cell r="C294" t="str">
            <v>ШАССИ 4 СЛОТА</v>
          </cell>
        </row>
        <row r="295">
          <cell r="B295" t="str">
            <v>140XBP01600</v>
          </cell>
          <cell r="C295" t="str">
            <v>ШАССИ 16 СЛОТОВ</v>
          </cell>
        </row>
        <row r="296">
          <cell r="B296" t="str">
            <v>NSYCAG291LPC</v>
          </cell>
          <cell r="C296" t="str">
            <v>СМЕННАЯ РЕШЕТКА 291Х291 ЦВЕТ RAL7032</v>
          </cell>
        </row>
        <row r="297">
          <cell r="B297" t="str">
            <v>140XBP00600</v>
          </cell>
          <cell r="C297" t="str">
            <v>ШАССИ 6 СЛОТА</v>
          </cell>
        </row>
        <row r="298">
          <cell r="B298" t="str">
            <v>140XBP01000</v>
          </cell>
          <cell r="C298" t="str">
            <v>ШАССИ 10 СЛОТОВ</v>
          </cell>
        </row>
        <row r="299">
          <cell r="B299" t="str">
            <v>NSYTLG2FL</v>
          </cell>
          <cell r="C299" t="str">
            <v>ПЛАТА КАБ. ВВОДА ДЛЯ МЕМБР. 495Х220 S3D</v>
          </cell>
        </row>
        <row r="300">
          <cell r="B300" t="str">
            <v>VW3A8306RC</v>
          </cell>
          <cell r="C300" t="str">
            <v>ТЕРМИНАТОР RC MODBUS RJ45</v>
          </cell>
        </row>
        <row r="301">
          <cell r="B301" t="str">
            <v>VW3A1102</v>
          </cell>
          <cell r="C301" t="str">
            <v>КОМПЛЕКТ ВЫНОСН МОНТ ГРАФИЧ ТЕРМ IP54</v>
          </cell>
        </row>
        <row r="302">
          <cell r="B302" t="str">
            <v>VW3A1103</v>
          </cell>
          <cell r="C302" t="str">
            <v>АКСЕССУАРЫ ДЛЯ КОМПЛ ВЫНОСН МОНТ IP65</v>
          </cell>
        </row>
        <row r="303">
          <cell r="B303" t="str">
            <v>VW3A3302</v>
          </cell>
          <cell r="C303" t="str">
            <v>КАРТА MODBUS PLUS</v>
          </cell>
        </row>
        <row r="304">
          <cell r="B304" t="str">
            <v>VW3A3608</v>
          </cell>
          <cell r="C304" t="str">
            <v>КОММУНИКАЦИОННАЯ КАРТА CAN 2XRJ45 ATV32 LXM32</v>
          </cell>
        </row>
        <row r="305">
          <cell r="B305" t="str">
            <v>VW3A3407</v>
          </cell>
          <cell r="C305" t="str">
            <v>КАРТА ИНТЕРФ 24В PUSH PULL ЭНКОДЕРА</v>
          </cell>
        </row>
        <row r="306">
          <cell r="B306" t="str">
            <v>VW3A1006</v>
          </cell>
          <cell r="C306" t="str">
            <v>ВЫНОСНОЙ ТЕРМИНАЛ IP54</v>
          </cell>
        </row>
        <row r="307">
          <cell r="B307" t="str">
            <v>VW3A1105</v>
          </cell>
          <cell r="C307" t="str">
            <v>АДАПТОР RJ45 ГНЕЗДО-ГНЕЗДО ATV71</v>
          </cell>
        </row>
        <row r="308">
          <cell r="B308" t="str">
            <v>VW3A1101</v>
          </cell>
          <cell r="C308" t="str">
            <v>ГРАФИЧЕСКИЙ ТЕРМИНАЛ ATV71</v>
          </cell>
        </row>
        <row r="309">
          <cell r="B309" t="str">
            <v>VW3A8306R</v>
          </cell>
          <cell r="C309" t="str">
            <v>ТЕРМИНАТОР R MODBUS RJ45</v>
          </cell>
        </row>
        <row r="310">
          <cell r="B310" t="str">
            <v>XB4BA21</v>
          </cell>
          <cell r="C310" t="str">
            <v>КНОПКА 22ММ ЧЁРНАЯ С ВОЗВРАТОМ</v>
          </cell>
        </row>
        <row r="311">
          <cell r="B311" t="str">
            <v>XB4BA42</v>
          </cell>
          <cell r="C311" t="str">
            <v>КНОПКА 22ММ КРАСНАЯ С ВОЗВРАТОМ</v>
          </cell>
        </row>
        <row r="312">
          <cell r="B312" t="str">
            <v>XB4BD21</v>
          </cell>
          <cell r="C312" t="str">
            <v>ПЕРЕКЛЮЧАТЕЛЬ 2 ПОЗИЦИИ</v>
          </cell>
        </row>
        <row r="313">
          <cell r="B313" t="str">
            <v>XB4BD25</v>
          </cell>
          <cell r="C313" t="str">
            <v>ПЕРЕКЛЮЧАТЕЛЬ 2 ПОЗИЦИИ XB4BD25</v>
          </cell>
        </row>
        <row r="314">
          <cell r="B314" t="str">
            <v>XB4BW31B5</v>
          </cell>
          <cell r="C314" t="str">
            <v>КНОПКА 22ММ 24В БЕЛАЯ С ВОЗВ. С ПОДСВ.</v>
          </cell>
        </row>
        <row r="315">
          <cell r="B315" t="str">
            <v>XB4BT845</v>
          </cell>
          <cell r="C315" t="str">
            <v>КНОПКА АВАРИЙНОГО ОСТАНОВА 22ММ</v>
          </cell>
        </row>
        <row r="316">
          <cell r="B316" t="str">
            <v>XB5AK125B5</v>
          </cell>
          <cell r="C316" t="str">
            <v>ПЕРЕКЛЮЧАТЕЛЬ 22ММ 24В 2 ПОЗИЦИ ЖЕЛТЫЙ С ПОДСВЕТКОЙ</v>
          </cell>
        </row>
        <row r="317">
          <cell r="B317" t="str">
            <v>XB4BJ53</v>
          </cell>
          <cell r="C317" t="str">
            <v>ПЕРЕКЛЮЧАТЕЛЬ 3 ПОЗИЦИИ С ВОЗВРАТОМ</v>
          </cell>
        </row>
        <row r="318">
          <cell r="B318" t="str">
            <v>XALK178F</v>
          </cell>
          <cell r="C318" t="str">
            <v>ПОСТ КНОПОЧНЫЙ АВАРИЙН.ОСТ. КР.КНОПКА</v>
          </cell>
        </row>
        <row r="319">
          <cell r="B319" t="str">
            <v>XB4BD33</v>
          </cell>
          <cell r="C319" t="str">
            <v>ПЕРЕКЛЮЧАТЕЛЬ 3 ПОЗИЦИИ</v>
          </cell>
        </row>
        <row r="320">
          <cell r="B320" t="str">
            <v>XB5AD53</v>
          </cell>
          <cell r="C320" t="str">
            <v>ПЕРЕКЛЮЧАТЕЛЬ 22ММ ЧЕРНЫЙ 3 ПОЗИЦИИ С ВОЗВРАТОМ</v>
          </cell>
        </row>
        <row r="321">
          <cell r="B321" t="str">
            <v>XD4PA22</v>
          </cell>
          <cell r="C321" t="str">
            <v>ДЖОЙСТИК 22ММ 2 НАПРАВЛЕНИЯ С ВОЗВРАТОМ</v>
          </cell>
        </row>
        <row r="322">
          <cell r="B322" t="str">
            <v>XB5AA31</v>
          </cell>
          <cell r="C322" t="str">
            <v>КНОПКА 22ММ ЗЕЛЕНАЯ С ВОЗВРАТОМ</v>
          </cell>
        </row>
        <row r="323">
          <cell r="B323" t="str">
            <v>XB5AA42</v>
          </cell>
          <cell r="C323" t="str">
            <v>КНОПКА 22ММ КРАСНАЯ С ВОЗВРАТОМ</v>
          </cell>
        </row>
        <row r="324">
          <cell r="B324" t="str">
            <v>XAPM1201</v>
          </cell>
          <cell r="C324" t="str">
            <v>КНОПОЧНЫЙ ПОСТ МЕТАЛЛИЧЕСКИЙ 1ОТВ. 80Х80</v>
          </cell>
        </row>
        <row r="325">
          <cell r="B325" t="str">
            <v>XAPM1501</v>
          </cell>
          <cell r="C325" t="str">
            <v>КНОПОЧНЫЙ ПОСТ МЕТАЛЛИЧЕСКИЙ 1ОТВ. 80Х80</v>
          </cell>
        </row>
        <row r="326">
          <cell r="B326" t="str">
            <v>XB5AD21</v>
          </cell>
          <cell r="C326" t="str">
            <v>ПЕРЕКЛЮЧАТЕЛЬ 22ММ ЧЕРНЫЙ 2 ПОЗИЦИИ</v>
          </cell>
        </row>
        <row r="327">
          <cell r="B327" t="str">
            <v>XB5AD33</v>
          </cell>
          <cell r="C327" t="str">
            <v>ПЕРЕКЛЮЧАТЕЛЬ 22ММ 3 ПОЗИЦИИ + 2NO</v>
          </cell>
        </row>
        <row r="328">
          <cell r="B328" t="str">
            <v>XB4BA31</v>
          </cell>
          <cell r="C328" t="str">
            <v>КНОПКА 22ММ ЗЕЛЕНАЯ С ВОЗВРАТОМ</v>
          </cell>
        </row>
        <row r="329">
          <cell r="B329" t="str">
            <v>XB4BW33B5</v>
          </cell>
          <cell r="C329" t="str">
            <v>КНОПКА ЗЕЛЕНАЯ 24В С ВОЗВР. С ПОДСВ</v>
          </cell>
        </row>
        <row r="330">
          <cell r="B330" t="str">
            <v>XB4BS8442</v>
          </cell>
          <cell r="C330" t="str">
            <v>КНОПКА АВАР. ОСТ. И ОТКЛ., ВОЗВ. ПОВОР. XB4BS8442</v>
          </cell>
        </row>
        <row r="331">
          <cell r="B331" t="str">
            <v>XB5AA21</v>
          </cell>
          <cell r="C331" t="str">
            <v>КНОПКА 22ММ ЧЁРНАЯ С ВОЗВРАТОМ</v>
          </cell>
        </row>
        <row r="332">
          <cell r="B332" t="str">
            <v>XB4BVB5</v>
          </cell>
          <cell r="C332" t="str">
            <v>СИГНАЛЬНАЯ ЛАМПА 22ММ 24В ЖЕЛТАЯ С ПОДСВЕТКОЙ</v>
          </cell>
        </row>
        <row r="333">
          <cell r="B333" t="str">
            <v>XB4BVB1</v>
          </cell>
          <cell r="C333" t="str">
            <v>СИГН. ЛАМПА 22ММ 24В БЕЛАЯ С ДИОДОМ</v>
          </cell>
        </row>
        <row r="334">
          <cell r="B334" t="str">
            <v>XB5AVB1</v>
          </cell>
          <cell r="C334" t="str">
            <v>СИГН. ЛАМПА 22ММ 24В БЕЛАЯ С ДИОДОМ</v>
          </cell>
        </row>
        <row r="335">
          <cell r="B335" t="str">
            <v>XB5AVB3</v>
          </cell>
          <cell r="C335" t="str">
            <v>СИГН. ЛАМПА 22ММ 24В ЗЕЛЕНАЯ С ДИОДОМ</v>
          </cell>
        </row>
        <row r="336">
          <cell r="B336" t="str">
            <v>XB5AVB4</v>
          </cell>
          <cell r="C336" t="str">
            <v>СИГН. ЛАМПА 22ММ 24В КРАСНАЯ С ДИОДОМ</v>
          </cell>
        </row>
        <row r="337">
          <cell r="B337" t="str">
            <v>XB4BVB6</v>
          </cell>
          <cell r="C337" t="str">
            <v>СИГН. ЛАМПА 22ММ 24В СИНЯЯ С ДИОДОМ</v>
          </cell>
        </row>
        <row r="338">
          <cell r="B338" t="str">
            <v>XB5AVB6</v>
          </cell>
          <cell r="C338" t="str">
            <v>СИГН. ЛАМПА 22ММ 24В СИНЯЯ С ДИОДОМ</v>
          </cell>
        </row>
        <row r="339">
          <cell r="B339" t="str">
            <v>XB4BVB3</v>
          </cell>
          <cell r="C339" t="str">
            <v>СИГНАЛЬНАЯ ЛАМПА 22ММ 24В ЗЕЛЕНАЯ С ПОДСВЕТКОЙ</v>
          </cell>
        </row>
        <row r="340">
          <cell r="B340" t="str">
            <v>XB5AVB5</v>
          </cell>
          <cell r="C340" t="str">
            <v>СИГН. ЛАМПА 22ММ 24В ЖЕЛТАЯ С ДИОДОМ</v>
          </cell>
        </row>
        <row r="341">
          <cell r="B341" t="str">
            <v>ZBZ33</v>
          </cell>
          <cell r="C341" t="str">
            <v>ДЕРЖАТЕЛЬ МАРКИРОВКИ</v>
          </cell>
        </row>
        <row r="342">
          <cell r="B342" t="str">
            <v>ZBY6102</v>
          </cell>
          <cell r="C342" t="str">
            <v>ДЕРЖАТЕЛЬ МАРКИРОВКИ + МАРКИР. ZBY6102</v>
          </cell>
        </row>
        <row r="343">
          <cell r="B343" t="str">
            <v>ZBZ001</v>
          </cell>
          <cell r="C343" t="str">
            <v>ДЕРЖАТЕЛЬ МАРКИР. ДЛЯ ЭЛЕКТРО БЛОКА</v>
          </cell>
        </row>
        <row r="344">
          <cell r="B344" t="str">
            <v>XB7EV03MP</v>
          </cell>
          <cell r="C344" t="str">
            <v>СИГН. ЛАМПА 22ММ 230-240В ЗЕЛЕНАЯ</v>
          </cell>
        </row>
        <row r="345">
          <cell r="B345" t="str">
            <v>XB5AVM3</v>
          </cell>
          <cell r="C345" t="str">
            <v>СИГН. ЛАМПА 22ММ 230-240В ЗЕЛЕНАЯ С ДИОДОМ</v>
          </cell>
        </row>
        <row r="346">
          <cell r="B346" t="str">
            <v>XB7EV05MP</v>
          </cell>
          <cell r="C346" t="str">
            <v>СИГН. ЛАМПА 22ММ 230-240В ЖЕЛТАЯ</v>
          </cell>
        </row>
        <row r="347">
          <cell r="B347" t="str">
            <v>XB4BVM1</v>
          </cell>
          <cell r="C347" t="str">
            <v>СИГНАЛЬНАЯ ЛАМПА 22ММ 230-240В БЕЛАЯ С ПОДСВЕТКОЙ</v>
          </cell>
        </row>
        <row r="348">
          <cell r="B348" t="str">
            <v>XB5AVM4</v>
          </cell>
          <cell r="C348" t="str">
            <v>СИГНАЛЬНАЯ ЛАМПА 22ММ 230-240В КРАСНАЯ С ПОДСВЕТКОЙ</v>
          </cell>
        </row>
        <row r="349">
          <cell r="B349" t="str">
            <v>XB7EV04MP</v>
          </cell>
          <cell r="C349" t="str">
            <v>СИГНАЛЬНАЯ ЛАМПА 22ММ 230-240В КРАСНАЯ</v>
          </cell>
        </row>
        <row r="350">
          <cell r="B350" t="str">
            <v>ZBY4H101</v>
          </cell>
          <cell r="C350" t="str">
            <v>ДЕРЖАТЕЛЬ    МАРКИРОВКИ+МАРКИРОВКА</v>
          </cell>
        </row>
        <row r="351">
          <cell r="B351" t="str">
            <v>ZB2BY2303</v>
          </cell>
          <cell r="C351" t="str">
            <v>МАРКИРОВКА START</v>
          </cell>
        </row>
        <row r="352">
          <cell r="B352" t="str">
            <v>ZB2BY2304</v>
          </cell>
          <cell r="C352" t="str">
            <v>МАРКИРОВОЧНАЯ ПЛАСТИНА</v>
          </cell>
        </row>
        <row r="353">
          <cell r="B353" t="str">
            <v>XB4BVM4</v>
          </cell>
          <cell r="C353" t="str">
            <v>СИГНАЛЬНАЯ ЛАМПА 22ММ 230-240В КРАСНАЯ С ПОДСВЕТКОЙ</v>
          </cell>
        </row>
        <row r="354">
          <cell r="B354" t="str">
            <v>XB5AVM6</v>
          </cell>
          <cell r="C354" t="str">
            <v>СИГН. ЛАМПА 22ММ 230-240В СИНЯЯ С ДИОДОМ</v>
          </cell>
        </row>
        <row r="355">
          <cell r="B355" t="str">
            <v>ZBY4101</v>
          </cell>
          <cell r="C355" t="str">
            <v>ЭТИКЕТКА</v>
          </cell>
        </row>
        <row r="356">
          <cell r="B356" t="str">
            <v>XB4BVM5</v>
          </cell>
          <cell r="C356" t="str">
            <v>СИГНАЛЬНАЯ ЛАМПА 22ММ 230-240В ЖЕЛТАЯ С ПОДСВЕТКОЙ</v>
          </cell>
        </row>
        <row r="357">
          <cell r="B357" t="str">
            <v>XB4BVM6</v>
          </cell>
          <cell r="C357" t="str">
            <v>СИГН. ЛАМПА 22ММ 230-240В СИНЯЯ С ДИОДОМ</v>
          </cell>
        </row>
        <row r="358">
          <cell r="B358" t="str">
            <v>XB5AVM1</v>
          </cell>
          <cell r="C358" t="str">
            <v>СИГН. ЛАМПА 22ММ 230-240В БЕЛАЯ С ДИОДОМ</v>
          </cell>
        </row>
        <row r="359">
          <cell r="B359" t="str">
            <v>ZBY2101</v>
          </cell>
          <cell r="C359" t="str">
            <v>ЭТИКЕТКА БЕЗ ТЕКСТА</v>
          </cell>
        </row>
        <row r="360">
          <cell r="B360" t="str">
            <v>ZBY2364</v>
          </cell>
          <cell r="C360" t="str">
            <v>МАРКИРОВКА AUTO-HAND</v>
          </cell>
        </row>
        <row r="361">
          <cell r="B361" t="str">
            <v>XB4BVM3</v>
          </cell>
          <cell r="C361" t="str">
            <v>СИГНАЛЬНАЯ ЛАМПА 22ММ 230-240В ЗЕЛЕНАЯ С ПОДСВЕТКОЙ</v>
          </cell>
        </row>
        <row r="362">
          <cell r="B362" t="str">
            <v>ZBY0101</v>
          </cell>
          <cell r="C362" t="str">
            <v>ПЛАСТИНА ДЛЯ МАРКИРОВКИ ЧИСТАЯ</v>
          </cell>
        </row>
        <row r="363">
          <cell r="B363" t="str">
            <v>ZBZ34</v>
          </cell>
          <cell r="C363" t="str">
            <v>ДЕРЖАТЕЛЬ МАРКИРОВКИ</v>
          </cell>
        </row>
        <row r="364">
          <cell r="B364" t="str">
            <v>ZBY5101</v>
          </cell>
          <cell r="C364" t="str">
            <v>ПЛАСТИНА ДЛЯ МАРКИРОВКИ ЧИСТАЯ</v>
          </cell>
        </row>
        <row r="365">
          <cell r="B365" t="str">
            <v>ZBY6H102</v>
          </cell>
          <cell r="C365" t="str">
            <v>ДЕРЖАТЕЛЬ МАРКИРОВКИ + МАРКИРОВКА</v>
          </cell>
        </row>
        <row r="366">
          <cell r="B366">
            <v>4600100</v>
          </cell>
          <cell r="C366" t="str">
            <v>Настенный датчик STR100</v>
          </cell>
        </row>
        <row r="367">
          <cell r="B367">
            <v>4701070</v>
          </cell>
          <cell r="C367" t="str">
            <v>Переключ. давл.(воздух) SPD910-500Pa</v>
          </cell>
        </row>
        <row r="368">
          <cell r="B368">
            <v>4702040</v>
          </cell>
          <cell r="C368" t="str">
            <v>Датчик давления (жидк.) SPP110-250kPa</v>
          </cell>
        </row>
        <row r="369">
          <cell r="B369" t="str">
            <v>BSH0553T22A1A</v>
          </cell>
          <cell r="C369" t="str">
            <v>ДВИГАТЕЛЬ BSH 55MM 1,3НМ IP65 Б/ШПОН</v>
          </cell>
        </row>
        <row r="370">
          <cell r="B370" t="str">
            <v>ZB4BZ104</v>
          </cell>
          <cell r="C370" t="str">
            <v>КОРП. КНОПКИ С КЛЕММ. ЗАЖ. ПОД ВИНТ</v>
          </cell>
        </row>
        <row r="371">
          <cell r="B371" t="str">
            <v>XB4BV63</v>
          </cell>
          <cell r="C371" t="str">
            <v>СИГН. ЛАМПА 22ММ ЗЕЛЕНАЯ С ПОДСВЕТКОЙ</v>
          </cell>
        </row>
        <row r="372">
          <cell r="B372" t="str">
            <v>XB4BV65</v>
          </cell>
          <cell r="C372" t="str">
            <v>СИГН. ЛАМПА 22ММ КРАСНАЯ С ПОДСВЕТКОЙ</v>
          </cell>
        </row>
        <row r="373">
          <cell r="B373" t="str">
            <v>XB4BV61</v>
          </cell>
          <cell r="C373" t="str">
            <v>СИГН. ЛАМПА 22ММ БЕЛАЯ С ПОДСВЕТКОЙ</v>
          </cell>
        </row>
        <row r="374">
          <cell r="B374" t="str">
            <v>XB4BV64</v>
          </cell>
          <cell r="C374" t="str">
            <v>СИГН. ЛАМПА 22ММ КРАСНАЯ С ПОДСВЕТКОЙ</v>
          </cell>
        </row>
        <row r="375">
          <cell r="B375" t="str">
            <v>ZB5AW0M314</v>
          </cell>
          <cell r="C375" t="str">
            <v>КОРП КНОПКИ С ПОДСВ(РАЗ'ЁМ)+NO(ZBE- 101)</v>
          </cell>
        </row>
        <row r="376">
          <cell r="B376" t="str">
            <v>DL1CE130</v>
          </cell>
          <cell r="C376" t="str">
            <v>ЛАМПА ДЛИТЕЛЬН. ПРИМЕНЕНИЯ ВА9S</v>
          </cell>
        </row>
        <row r="377">
          <cell r="B377" t="str">
            <v>TSXRKA02</v>
          </cell>
          <cell r="C377" t="str">
            <v>ПЯТЬ КРЫШЕК ДЛЯ ПУСТЫХ СЛОТОВ TSX57</v>
          </cell>
        </row>
        <row r="378">
          <cell r="B378" t="str">
            <v>LV429329</v>
          </cell>
          <cell r="C378" t="str">
            <v>6 РАЗДЕЛИТЕЛЕЙ ПОЛЮСОВ (NSX100/250)</v>
          </cell>
        </row>
        <row r="379">
          <cell r="B379" t="str">
            <v>LV429518</v>
          </cell>
          <cell r="C379" t="str">
            <v>1 ДЛИН.КЛЕМ.ЗАГЛУШ. ДЛЯ 4Р (NSX100/250)</v>
          </cell>
        </row>
        <row r="380">
          <cell r="B380" t="str">
            <v>NSYDPA4</v>
          </cell>
          <cell r="C380" t="str">
            <v>КАРМАН ДЛЯ ДОКУМЕНТОВ А4</v>
          </cell>
        </row>
        <row r="381">
          <cell r="B381" t="str">
            <v>NSYDPA44</v>
          </cell>
          <cell r="C381" t="str">
            <v>КАРМАН ДЛЯ ДОКУМЕНТОВ А4</v>
          </cell>
        </row>
        <row r="382">
          <cell r="B382" t="str">
            <v>NSYSCCDINLG140</v>
          </cell>
          <cell r="C382" t="str">
            <v>ПЛАСТИКОВЫЙ ДЕРЖАТЕЛЬ ДЛЯ КАБЕЛЕЙ Ш140</v>
          </cell>
        </row>
        <row r="383">
          <cell r="B383" t="str">
            <v>NSYSCCDINLG75</v>
          </cell>
          <cell r="C383" t="str">
            <v>ПЛАСТИКОВЫЙ ДЕРЖАТЕЛЬ ДЛЯ КАБЕЛЕЙ Ш75</v>
          </cell>
        </row>
        <row r="384">
          <cell r="B384" t="str">
            <v>RSL1PVBU</v>
          </cell>
          <cell r="C384" t="str">
            <v>КОМПЛЕКТ РЕЛЕ И РОЗЕТКИ, ВИНТ, 24В АС/DC</v>
          </cell>
        </row>
        <row r="385">
          <cell r="B385" t="str">
            <v>RSL1PVPU</v>
          </cell>
          <cell r="C385" t="str">
            <v>КОМПЛЕКТ РЕЛЕ И РОЗЕТКИ, ВИНТ, 230ВАС/DC</v>
          </cell>
        </row>
        <row r="386">
          <cell r="B386" t="str">
            <v>RSZE1S48M</v>
          </cell>
          <cell r="C386" t="str">
            <v>КОЛОДКА ДЛЯ РЕЛЕ RSB1A160**/RSB 2A080**</v>
          </cell>
        </row>
        <row r="387">
          <cell r="B387" t="str">
            <v>RXZE2M114</v>
          </cell>
          <cell r="C387" t="str">
            <v>КОЛОДКА С КОМБИНИРОВ КОНТ 4CO 30ММ</v>
          </cell>
        </row>
        <row r="388">
          <cell r="B388" t="str">
            <v>RXZE2S114S</v>
          </cell>
          <cell r="C388" t="str">
            <v>КОЛОДКА С ПРУЖИННЫМИ ЗАЖИМАМИ ДЛЯ ЭЛЕКТРОМЕХАНИЧЕСКИХ РЕЛЕ RXM, 2НО/4НО, 12А/6А</v>
          </cell>
        </row>
        <row r="389">
          <cell r="B389" t="str">
            <v>RXZE2M114M</v>
          </cell>
          <cell r="C389" t="str">
            <v>КОЛОДКА С КОМБИНИРОВАННЫМИ КОНТАКТАМИ 4 ПЕРЕКИДНЫХ, ШИРИНА 27ММ</v>
          </cell>
        </row>
        <row r="390">
          <cell r="B390" t="str">
            <v>RXZE2S114M</v>
          </cell>
          <cell r="C390" t="str">
            <v>КОЛОДКА С РАЗДЕЛЬНЫМИ КОНТАКТАМИ 4 ПЕРЕКИДНЫХ, ШИРИНА 27MM</v>
          </cell>
        </row>
        <row r="391">
          <cell r="B391" t="str">
            <v>RM17TG20</v>
          </cell>
          <cell r="C391" t="str">
            <v>РЕЛЕ КОНТРОЛЯ ФАЗ 200/500 В</v>
          </cell>
        </row>
        <row r="392">
          <cell r="B392" t="str">
            <v>RXM4AB2ED</v>
          </cell>
          <cell r="C392" t="str">
            <v>РЕЛЕ 4 CO СВЕТОДИОД 48В ПОСТ ТОКА (НОВ)</v>
          </cell>
        </row>
        <row r="393">
          <cell r="B393" t="str">
            <v>REXL2TMP7</v>
          </cell>
          <cell r="C393" t="str">
            <v>РЕЛЕ-ТАЙМЕР СЪЁМНОЕ МИНИАТЮРНОЕ ДЛЯ ЧАСТОЙ ПОДСТРОЙКИ ~230В, 2 CO, 5А</v>
          </cell>
        </row>
        <row r="394">
          <cell r="B394" t="str">
            <v>RXM2AB1FD</v>
          </cell>
          <cell r="C394" t="str">
            <v>РЕЛЕ 2 CO 110В ПОСТ ТОКА</v>
          </cell>
        </row>
        <row r="395">
          <cell r="B395" t="str">
            <v>RSB2A080ED</v>
          </cell>
          <cell r="C395" t="str">
            <v>РЕЛЕ.2CO 48В ПОСТ.ТОК</v>
          </cell>
        </row>
        <row r="396">
          <cell r="B396" t="str">
            <v>RXM4AB1B7</v>
          </cell>
          <cell r="C396" t="str">
            <v>МИНИАТЮРНОЕ РЕЛЕ, 2 ПЕРЕКИДНЫХ КОНТАКТА, СВЕТОДИОД, КАТУШКА 24В ПЕРЕМ ТОКА</v>
          </cell>
        </row>
        <row r="397">
          <cell r="B397" t="str">
            <v>REXL4TMP7</v>
          </cell>
          <cell r="C397" t="str">
            <v>РЕЛЕ-ТАЙМЕР СЪЁМНОЕ МИНИАТЮРНОЕ ДЛЯ ЧАСТОЙ ПОДСТРОЙКИ ~230В, 4 CO, 5А</v>
          </cell>
        </row>
        <row r="398">
          <cell r="B398" t="str">
            <v>A9C30811</v>
          </cell>
          <cell r="C398" t="str">
            <v>ИМПУЛЬСНОЕ РЕЛЕ iTL16A 1НО 230В АС 110В DC 50-60ГЦ</v>
          </cell>
        </row>
        <row r="399">
          <cell r="B399" t="str">
            <v>RXM4AB1BD</v>
          </cell>
          <cell r="C399" t="str">
            <v>МИНИАТЮРНОЕ РЕЛЕ, 4 ПЕРЕКИДНЫХ КОНТАКТА, КАТУШКА 24В ПЕРЕМ ТОКА</v>
          </cell>
        </row>
        <row r="400">
          <cell r="B400" t="str">
            <v>RXM4AB2BD</v>
          </cell>
          <cell r="C400" t="str">
            <v>МИНИАТЮРНОЕ РЕЛЕ, 4 ПЕРЕКИДНЫХ КОНТАКТА, КАТУШКА 24В ПОСТ ТОКА</v>
          </cell>
        </row>
        <row r="401">
          <cell r="B401" t="str">
            <v>RXM4GB1BD</v>
          </cell>
          <cell r="C401" t="str">
            <v>РЕЛЕ 4 CO СЛАБОТОЧН 24В ПОСТ ТОКА</v>
          </cell>
        </row>
        <row r="402">
          <cell r="B402" t="str">
            <v>RXM4AB2P7</v>
          </cell>
          <cell r="C402" t="str">
            <v>МИНИАТЮРНОЕ РЕЛЕ, 4 ПЕРЕКИДНЫХ КОНТАКТА, СВЕТОДИОД, КАТУШКА 220В ПЕР ТОКА</v>
          </cell>
        </row>
        <row r="403">
          <cell r="B403" t="str">
            <v>RXM2AB1P7</v>
          </cell>
          <cell r="C403" t="str">
            <v>МИНИАТЮРНОЕ РЕЛЕ, 2 ПЕРЕКИДНЫХ КОНТАКТА, КАТУШКА 220В Пер ТОКА</v>
          </cell>
        </row>
        <row r="404">
          <cell r="B404" t="str">
            <v>RSB2A080JD</v>
          </cell>
          <cell r="C404" t="str">
            <v>РЕЛЕ 2CO 12В ПОСТ.ТОК</v>
          </cell>
        </row>
        <row r="405">
          <cell r="B405" t="str">
            <v>RSB2A080BD</v>
          </cell>
          <cell r="C405" t="str">
            <v>РЕЛЕ 2CO 24В ПОСТ.ТОК</v>
          </cell>
        </row>
        <row r="406">
          <cell r="B406" t="str">
            <v>RE7RB11MW</v>
          </cell>
          <cell r="C406" t="str">
            <v>РЕЛЕ, ВЫДЕРЖКА ВРЕМЕНИ НА ВЫКЛЮЧЕНИЕ ПРИ ОБЕСТОЧИВАНИИ 0,05- 1С ~/=240В 1CO</v>
          </cell>
        </row>
        <row r="407">
          <cell r="B407" t="str">
            <v>RHK412E</v>
          </cell>
          <cell r="C407" t="str">
            <v>РЕЛЕ БИСТАБИЛЬНОЕ 110В ~</v>
          </cell>
        </row>
        <row r="408">
          <cell r="B408" t="str">
            <v>RM4UA33MW</v>
          </cell>
          <cell r="C408" t="str">
            <v>РЕЛЕ ИЗМЕРЕНИЯ НАПРЯЖЕНИЯ 30-500В
~/=24-240В</v>
          </cell>
        </row>
        <row r="409">
          <cell r="B409">
            <v>56193</v>
          </cell>
          <cell r="C409" t="str">
            <v>* РЕЛЕ H99M 240 В 50/60/400 ГЦ С АВТ.СБРОС_0,1_30_А 0_4,5 сек.</v>
          </cell>
        </row>
        <row r="410">
          <cell r="B410" t="str">
            <v>A9C15419</v>
          </cell>
          <cell r="C410" t="str">
            <v>МОДУЛЬ ЗАДЕРЖКИ ВРЕМЕНИ ДЛЯ CT И TL</v>
          </cell>
        </row>
        <row r="411">
          <cell r="B411" t="str">
            <v>LA4KE1UG</v>
          </cell>
          <cell r="C411" t="str">
            <v>МОДУЛЬ ПОДАВЛЕНИЯ</v>
          </cell>
        </row>
        <row r="412">
          <cell r="B412" t="str">
            <v>RUW101MW</v>
          </cell>
          <cell r="C412" t="str">
            <v>МОДУЛЬ ВЫДЕРЖКИ ВРЕМЕНИ МУЛЬТИФ 24-240В</v>
          </cell>
        </row>
        <row r="413">
          <cell r="B413" t="str">
            <v>RXM040W</v>
          </cell>
          <cell r="C413" t="str">
            <v>ДИОДНЫЙ МОДУЛЬ 6…250В</v>
          </cell>
        </row>
        <row r="414">
          <cell r="B414" t="str">
            <v>RXM021FP</v>
          </cell>
          <cell r="C414" t="str">
            <v>МОДУЛЬ ВАРИСТОРА 110…240В</v>
          </cell>
        </row>
        <row r="415">
          <cell r="B415" t="str">
            <v>RXM041FU7</v>
          </cell>
          <cell r="C415" t="str">
            <v>RC МОДУЛЬ 110…240В</v>
          </cell>
        </row>
        <row r="416">
          <cell r="B416" t="str">
            <v>RXZL420</v>
          </cell>
          <cell r="C416" t="str">
            <v>ЗАЩЕЛКИВАЮЩАЯСЯ ЭТИКЕТКА НА КОЛОДКУ</v>
          </cell>
        </row>
        <row r="417">
          <cell r="B417" t="str">
            <v>RXZ400</v>
          </cell>
          <cell r="C417" t="str">
            <v>МЕТАЛЛИЧЕСКАЯ СКОБА-ДЕРЖАТЕЛЬ</v>
          </cell>
        </row>
        <row r="418">
          <cell r="B418" t="str">
            <v>RXZR335</v>
          </cell>
          <cell r="C418" t="str">
            <v>ПЛАСТИКОВАЯ СКОБА-ДЕРЖАТЕЛЬ</v>
          </cell>
        </row>
        <row r="419">
          <cell r="B419" t="str">
            <v>RXZL520</v>
          </cell>
          <cell r="C419" t="str">
            <v>БЛОК ИЗ 108 ЗАЩЕЛКИВАЮЩИХСЯ ЭТИКЕТОК НА РЕЛЕ</v>
          </cell>
        </row>
        <row r="420">
          <cell r="B420" t="str">
            <v>LAD8N11</v>
          </cell>
          <cell r="C420" t="str">
            <v>ДОПОЛНИТЕЛЬНЫЙ КОНТАКТНЫЙ БЛОК МГНОВЕННОГО ДЕЙСТВИЯ НО+НЗ МОНТИРУЕТСЯ СБОКУ</v>
          </cell>
        </row>
        <row r="421">
          <cell r="B421" t="str">
            <v>LA6DK10B</v>
          </cell>
          <cell r="C421" t="str">
            <v>БЛОК ЭЛ-МЕХ. ЗАЩЕЛКИ 24V 50/60HZ</v>
          </cell>
        </row>
        <row r="422">
          <cell r="B422" t="str">
            <v>VZ7</v>
          </cell>
          <cell r="C422" t="str">
            <v>ДОПОЛНИТЕЛЬНЫЕ КОНТАКТЫ НО+НЗ</v>
          </cell>
        </row>
        <row r="423">
          <cell r="B423" t="str">
            <v>LADT4</v>
          </cell>
          <cell r="C423" t="str">
            <v>ДОП. КОНТ. БЛОК C ВЫДЕРЖ. ВРЕМ. 10…180С</v>
          </cell>
        </row>
        <row r="424">
          <cell r="B424" t="str">
            <v>LAD6K10M</v>
          </cell>
          <cell r="C424" t="str">
            <v>БЛОК ЭЛЕКТРОМЕХАНИЧЕСКОЙ ЗАЩЕЛКИ AC,DC 220/240V</v>
          </cell>
        </row>
        <row r="425">
          <cell r="B425" t="str">
            <v>LAD8N20</v>
          </cell>
          <cell r="C425" t="str">
            <v>ДОПОЛНИТЕЛЬНЫЙ КОНТАКТНЫЙ БЛОК МГНОВЕННОГО ДЕЙСТВИЯ 2НО МОНТИРУЕТСЯ СБОКУ</v>
          </cell>
        </row>
        <row r="426">
          <cell r="B426" t="str">
            <v>LAEN11</v>
          </cell>
          <cell r="C426" t="str">
            <v>ДОПОЛНИТЕЛЬНЫЙ КОНТАКТНЫЙ БЛОК1НО+1НЗ</v>
          </cell>
        </row>
        <row r="427">
          <cell r="B427">
            <v>29450</v>
          </cell>
          <cell r="C427" t="str">
            <v>ДОП. КОНТАКТ СТАНД OF/SDE/SDV NS80/630</v>
          </cell>
        </row>
        <row r="428">
          <cell r="B428" t="str">
            <v>EZAUX11</v>
          </cell>
          <cell r="C428" t="str">
            <v>КОМБИНИР. КОНТАКТ СИГНАЛ. (AX+AL) EZC100</v>
          </cell>
        </row>
        <row r="429">
          <cell r="B429" t="str">
            <v>GVAD0110</v>
          </cell>
          <cell r="C429" t="str">
            <v>КОНТАКТ СИГН.АВАР.ОТКЛ. НЗ+ДОП.КОНТ. НО</v>
          </cell>
        </row>
        <row r="430">
          <cell r="B430" t="str">
            <v>GVAE11</v>
          </cell>
          <cell r="C430" t="str">
            <v>ДОП. БЛОК КОНТАКТОВ НО+НЗ</v>
          </cell>
        </row>
        <row r="431">
          <cell r="B431" t="str">
            <v>GVAN11</v>
          </cell>
          <cell r="C431" t="str">
            <v>ДОПОЛНИТЕЛЬНЫЕ КОНТАКТЫ МГНОВЕННОГО ДЕЙСТВИЯ НО+НЗ</v>
          </cell>
        </row>
        <row r="432">
          <cell r="B432" t="str">
            <v>GVAD1010</v>
          </cell>
          <cell r="C432" t="str">
            <v>КОНТАКТ СИГН.АВАР.ОТКЛ. НО+ДОП.КОНТ. НО</v>
          </cell>
        </row>
        <row r="433">
          <cell r="B433" t="str">
            <v>EZEAX</v>
          </cell>
          <cell r="C433" t="str">
            <v>КОНТАКТ СИГНАЛИЗ. СОСТОЯНИЯ EZC250</v>
          </cell>
        </row>
        <row r="434">
          <cell r="B434" t="str">
            <v>LADN31</v>
          </cell>
          <cell r="C434" t="str">
            <v>ДОП. КОНТ. БЛОК 3НО+НЗ ФРОНТАЛЬНЫЙ МОНТАЖ КРЕПЛЕНИЕ С ПОМОЩЬЮ ВИНТОВЫХ ЗАЖИМОВ</v>
          </cell>
        </row>
        <row r="435">
          <cell r="B435" t="str">
            <v>LADN02</v>
          </cell>
          <cell r="C435" t="str">
            <v>ДОП. КОНТ. БЛОК 2НЗ ФРОНТАЛЬНЫЙ МОНТАЖ КРЕПЛЕНИЕ С ПОМОЩЬЮ ВИНТОВЫХ ЗАЖИМОВ</v>
          </cell>
        </row>
        <row r="436">
          <cell r="B436" t="str">
            <v>LADN13</v>
          </cell>
          <cell r="C436" t="str">
            <v>ДОП. КОНТ. БЛОК НО+3НЗ ФРОНТАЛЬНЫЙ МОНТАЖ КРЕПЛЕНИЕ С ПОМОЩЬЮ ВИНТОВЫХ ЗАЖИМОВ</v>
          </cell>
        </row>
        <row r="437">
          <cell r="B437" t="str">
            <v>LADN20</v>
          </cell>
          <cell r="C437" t="str">
            <v>ДОП. КОНТ. БЛОК 2НО ФРОНТАЛЬНЫЙ МОНТАЖ КРЕПЛЕНИЕ С ПОМОЩЬЮ ВИНТОВЫХ ЗАЖИМОВ</v>
          </cell>
        </row>
        <row r="438">
          <cell r="B438" t="str">
            <v>LAEN22</v>
          </cell>
          <cell r="C438" t="str">
            <v>ДОП. КОНТ. БЛОК 2НО+2НЗ ФРОНТАЛЬНЫЙ МОНТАЖ КРЕПЛЕНИЕ С ПОМОЩЬЮ ВИНТОВЫХ ЗАЖИМОВ</v>
          </cell>
        </row>
        <row r="439">
          <cell r="B439" t="str">
            <v>LADN11</v>
          </cell>
          <cell r="C439" t="str">
            <v>ДОП. КОНТ. БЛОК НО+НЗ ФР.МОНТ.ВИНТ</v>
          </cell>
        </row>
        <row r="440">
          <cell r="B440" t="str">
            <v>LADN04</v>
          </cell>
          <cell r="C440" t="str">
            <v>ДОП. КОНТ. БЛОК 2НЗ ФРОНТАЛЬНЫЙ МОНТАЖ КРЕПЛЕНИЕ С ПОМОЩЬЮ ВИНТОВЫХ ЗАЖИМОВ</v>
          </cell>
        </row>
        <row r="441">
          <cell r="B441" t="str">
            <v>LADN22</v>
          </cell>
          <cell r="C441" t="str">
            <v>ДОП. КОНТ. БЛОК 2НО+2НЗ ФРОНТАЛЬНЫЙ МОНТАЖ КРЕПЛЕНИЕ С ПОМОЩЬЮ ВИНТОВЫХ ЗАЖИМОВ</v>
          </cell>
        </row>
        <row r="442">
          <cell r="B442" t="str">
            <v>LADN11</v>
          </cell>
          <cell r="C442" t="str">
            <v>ДОП. КОНТ. БЛОК НО+НЗ ФРОНТАЛЬНЫЙ МОНТАЖ КРЕПЛЕНИЕ С ПОМОЩЬЮ ВИНТОВЫХ ЗАЖИМОВ</v>
          </cell>
        </row>
        <row r="443">
          <cell r="B443" t="str">
            <v>LADN04</v>
          </cell>
          <cell r="C443" t="str">
            <v>ДОП. КОНТ. БЛОК 2НЗ ФРОНТАЛЬНЫЙ МОНТАЖ КРЕПЛЕНИЕ С ПОМОЩЬЮ ВИНТОВЫХ ЗАЖИМОВ</v>
          </cell>
        </row>
        <row r="444">
          <cell r="B444" t="str">
            <v>LADR2</v>
          </cell>
          <cell r="C444" t="str">
            <v>ДОПОЛНИТЕЛЬНЫЙ КОНТАКТНЫЙ БЛОК C ВЫДЕРЖКОЙ ВРЕМЕНИ НА ОТКЛЮЧЕНИЕ 0.1…30C</v>
          </cell>
        </row>
        <row r="445">
          <cell r="B445" t="str">
            <v>LADN22</v>
          </cell>
          <cell r="C445" t="str">
            <v>ДОП. КОНТ. БЛОК 2НО+2НЗ ФРОНТАЛЬНЫЙ МОНТАЖ КРЕПЛЕНИЕ С ПОМОЩЬЮ ВИНТОВЫХ ЗАЖИМОВ</v>
          </cell>
        </row>
        <row r="446">
          <cell r="B446" t="str">
            <v>LA1KN11</v>
          </cell>
          <cell r="C446" t="str">
            <v>БЛОК ДОПОЛНИТЕЛЬНЫХ КОНТАКТОВ НО+НЗ ВИНТОВОЙ ЗАЖИМ</v>
          </cell>
        </row>
        <row r="447">
          <cell r="B447" t="str">
            <v>LADN40</v>
          </cell>
          <cell r="C447" t="str">
            <v>ДОП. КОНТ. БЛОК 4НО ФР.МОНТ. ВИНТ</v>
          </cell>
        </row>
        <row r="448">
          <cell r="B448" t="str">
            <v>LA1KN04</v>
          </cell>
          <cell r="C448" t="str">
            <v>БЛОК ДОПОЛНИТЕЛЬНЫХ КОНТАКТОВ 4НЗ ВИНТОВОЙ ЗАЖИМ</v>
          </cell>
        </row>
        <row r="449">
          <cell r="B449" t="str">
            <v>LA1KN02</v>
          </cell>
          <cell r="C449" t="str">
            <v>БЛОК ДОПОЛНИТЕЛЬНЫХ КОНТАКТОВ 2НЗ ВИНТОВОЙ ЗАЖИМ</v>
          </cell>
        </row>
        <row r="450">
          <cell r="B450" t="str">
            <v>LADN40</v>
          </cell>
          <cell r="C450" t="str">
            <v>ДОП. КОНТ. БЛОК 4HO ФРОНТАЛЬНЫЙ МОНТАЖ КРЕПЛЕНИЕ С ПОМОЩЬЮ ВИНТОВЫХЗАЖИМОВ</v>
          </cell>
        </row>
        <row r="451">
          <cell r="B451" t="str">
            <v>LADN02</v>
          </cell>
          <cell r="C451" t="str">
            <v>ДОП. КОНТ. БЛОК 2НЗ ФР.МОНТ. ВИНТ</v>
          </cell>
        </row>
        <row r="452">
          <cell r="B452" t="str">
            <v>LAD4RCU</v>
          </cell>
          <cell r="C452" t="str">
            <v>RC МОДУЛЬ ОГРАНИЧЕНИЯ КОММУТАЦИОННЫХ    ПЕРЕНАПРЯЖЕНИЙ АС 110…240V</v>
          </cell>
        </row>
        <row r="453">
          <cell r="B453" t="str">
            <v>LAD4VU</v>
          </cell>
          <cell r="C453" t="str">
            <v>ВАРИСТОР AC 110-250V</v>
          </cell>
        </row>
        <row r="454">
          <cell r="B454" t="str">
            <v>GV1G09</v>
          </cell>
          <cell r="C454" t="str">
            <v>КЛЕММНЫЙ БЛОК</v>
          </cell>
        </row>
        <row r="455">
          <cell r="B455" t="str">
            <v>ABS2EA01EM</v>
          </cell>
          <cell r="C455" t="str">
            <v>ИНТЕРФЕЙС ВХОДНОЙ СО СТАТИЧЕСКИМ ВЫХОДОМ, ШИРИНА 9,5ММ 230-240В 50ГЦ</v>
          </cell>
        </row>
        <row r="456">
          <cell r="B456" t="str">
            <v>ABS2SA02MB</v>
          </cell>
          <cell r="C456" t="str">
            <v>ИНТЕРФЕЙС ВЫХОДНОЙ СО СТАТИЧЕСКИМ ВЫХОДОМ, ШИРИНА 17,5ММ ~24-230В 3А</v>
          </cell>
        </row>
        <row r="457">
          <cell r="B457" t="str">
            <v>ABS2EC01EB</v>
          </cell>
          <cell r="C457" t="str">
            <v>ИНТЕРФЕЙС ВХОДНОЙ СО СТАТИЧЕСКИМ ВЫХОДОМ, ШИРИНА 9,5ММ 24В ПОСТ.ТОК</v>
          </cell>
        </row>
        <row r="458">
          <cell r="B458" t="str">
            <v>ZBE201</v>
          </cell>
          <cell r="C458" t="str">
            <v>КОНТАКТ НО</v>
          </cell>
        </row>
        <row r="459">
          <cell r="B459" t="str">
            <v>ZBE1024</v>
          </cell>
          <cell r="C459" t="str">
            <v>БЛОК-КОНТ. РАЗ'ЁМ 1НС</v>
          </cell>
        </row>
        <row r="460">
          <cell r="B460" t="str">
            <v>ZBE202</v>
          </cell>
          <cell r="C460" t="str">
            <v>КОНТАКТ НЗ</v>
          </cell>
        </row>
        <row r="461">
          <cell r="B461" t="str">
            <v>ZBE1014</v>
          </cell>
          <cell r="C461" t="str">
            <v>БЛОК-КОНТ. РАЗ'ЁМ 1НО</v>
          </cell>
        </row>
        <row r="462">
          <cell r="B462" t="str">
            <v>ZENL1121</v>
          </cell>
          <cell r="C462" t="str">
            <v>БЛОК-КОНТАКТ 1НЗ</v>
          </cell>
        </row>
        <row r="463">
          <cell r="B463" t="str">
            <v>ZBE101</v>
          </cell>
          <cell r="C463" t="str">
            <v>БЛОК-КОНТ. ДЛЯ ВИНТ. КРЕПЛЕНИЯ 1НО</v>
          </cell>
        </row>
        <row r="464">
          <cell r="B464" t="str">
            <v>ZBE102</v>
          </cell>
          <cell r="C464" t="str">
            <v>БЛОК-КОНТ.С КЛЕММ.ЗАЖ. ПОД ВИНТ 1НЗ</v>
          </cell>
        </row>
        <row r="465">
          <cell r="B465">
            <v>16074</v>
          </cell>
          <cell r="C465" t="str">
            <v>АМПЕРМЕТР АНАЛОГ. 96Х96</v>
          </cell>
        </row>
        <row r="466">
          <cell r="B466">
            <v>33110</v>
          </cell>
          <cell r="C466" t="str">
            <v>MODBUS ВНЕШНИЙ COM МОДУЛЬ ДЛЯ ШАССИ</v>
          </cell>
        </row>
        <row r="467">
          <cell r="B467" t="str">
            <v>TSXDSY16R5</v>
          </cell>
          <cell r="C467" t="str">
            <v>16 ДИСКР.ВЫХ. =24В 3А/24-240VAC 3А, РЕЛЕ, КЛЕММНИК</v>
          </cell>
        </row>
        <row r="468">
          <cell r="B468" t="str">
            <v>170ADM35010</v>
          </cell>
          <cell r="C468" t="str">
            <v>MOMENTUM ДИСКРЕТН., 16 ВХ. / 16 ТРАНЗИСТ.ВЫХ., 0.5A (2X8), =24В</v>
          </cell>
        </row>
        <row r="469">
          <cell r="B469" t="str">
            <v>LUCA05FU</v>
          </cell>
          <cell r="C469" t="str">
            <v>БЛОК УПР СТАН 1,25-5A 110-240V CL10 3P</v>
          </cell>
        </row>
        <row r="470">
          <cell r="B470" t="str">
            <v>LUCB1XBL</v>
          </cell>
          <cell r="C470" t="str">
            <v>БЛОК УПР УСОВ 0,35-1,4A 24VDC CL10 3P</v>
          </cell>
        </row>
        <row r="471">
          <cell r="B471" t="str">
            <v>LUCC1XBL</v>
          </cell>
          <cell r="C471" t="str">
            <v>БЛОК УПР УСОВ 0,35-1,4A 24VDC CL10 1P</v>
          </cell>
        </row>
        <row r="472">
          <cell r="B472" t="str">
            <v>LULC033</v>
          </cell>
          <cell r="C472" t="str">
            <v>МОДУЛЬ MODBUS</v>
          </cell>
        </row>
        <row r="473">
          <cell r="B473" t="str">
            <v>TSXCANTDM4</v>
          </cell>
          <cell r="C473" t="str">
            <v>CANOPEN TAP С 4 ПОРТАМИ SUB-D 9P</v>
          </cell>
        </row>
        <row r="474">
          <cell r="B474" t="str">
            <v>TSXCUSB485</v>
          </cell>
          <cell r="C474" t="str">
            <v>КОНВЕРТОР USB – RS485</v>
          </cell>
        </row>
        <row r="475">
          <cell r="B475" t="str">
            <v>TSXCUSB232</v>
          </cell>
          <cell r="C475" t="str">
            <v>КОНВЕРТОР USB – RS232</v>
          </cell>
        </row>
        <row r="476">
          <cell r="B476" t="str">
            <v>AR1SB3</v>
          </cell>
          <cell r="C476" t="str">
            <v>ДЕРЖАТЕЛЬ МАРКИРОВКИ НАБОРН САМОКЛЕЮЩ</v>
          </cell>
        </row>
        <row r="477">
          <cell r="B477" t="str">
            <v>NSYTRV42SF5</v>
          </cell>
          <cell r="C477" t="str">
            <v>КЛЕММНИК ВИНТ,4ММ2,С ДЕРЖАТЕЛЕМ- РАЪЕД ПЛАВКОГО ПРЕДОХРАНИТЕЛЯ 5*20 ИЛИ 5*25</v>
          </cell>
        </row>
        <row r="478">
          <cell r="B478" t="str">
            <v>ABE7FU630</v>
          </cell>
          <cell r="C478" t="str">
            <v>TELEFAST ПЛАВКИЙ ПРЕДОХРАНИТЕЛЬ 5X20, 250В, 6,3А</v>
          </cell>
        </row>
        <row r="479">
          <cell r="B479" t="str">
            <v>ABE7FU050</v>
          </cell>
          <cell r="C479" t="str">
            <v>TELEFAST ПЛАВКИЙ ПРЕДОХРАНИТЕЛЬ 5X20, 250В, 0,5А</v>
          </cell>
        </row>
        <row r="480">
          <cell r="B480" t="str">
            <v>ABE7FU400</v>
          </cell>
          <cell r="C480" t="str">
            <v>TELEFAST ПЛАВКИЙ ПРЕДОХРАНИТЕЛЬ 5X20, 250В, 4А</v>
          </cell>
        </row>
        <row r="481">
          <cell r="B481" t="str">
            <v>ABE7FU200</v>
          </cell>
          <cell r="C481" t="str">
            <v>TELEFAST ПЛАВКИЙ ПРЕДОХРАНИТЕЛЬ 5X20, 250В, 2А</v>
          </cell>
        </row>
        <row r="482">
          <cell r="B482" t="str">
            <v>ABE7FU100</v>
          </cell>
          <cell r="C482" t="str">
            <v>TELEFAST ПЛАВКИЙ ПРЕДОХРАНИТЕЛЬ 5X20, 250В, 1А</v>
          </cell>
        </row>
        <row r="483">
          <cell r="B483" t="str">
            <v>GS1JD3</v>
          </cell>
          <cell r="C483" t="str">
            <v>ВЫКЛЮЧАТЕЛЬ-РАЗЪЕДИНИТЕЛЬ- ПРЕДОХРАНИТЕЛЬ 3X100A 22X58</v>
          </cell>
        </row>
        <row r="484">
          <cell r="B484" t="str">
            <v>NSYTRV42SF5LD</v>
          </cell>
          <cell r="C484" t="str">
            <v>КЛЕММНИК ВИНТ,ПРОВОД 4ММ2,С ДЕРЖАТЕЛЕМ-РАЪЕД ПЛАВК ПРЕДОХР 5*20/5*25,СВТД 12-24В</v>
          </cell>
        </row>
        <row r="485">
          <cell r="B485" t="str">
            <v>NSYLAMCF</v>
          </cell>
          <cell r="C485" t="str">
            <v>КОМПАКТНАЯ ЛАМПА С РОЗЕТКОЙ VDE</v>
          </cell>
        </row>
        <row r="486">
          <cell r="B486" t="str">
            <v>NSYLAMCS</v>
          </cell>
          <cell r="C486" t="str">
            <v>КОМПАКТНАЯ ЛАМПА С РОЗЕТКОЙ VDE</v>
          </cell>
        </row>
        <row r="487">
          <cell r="B487" t="str">
            <v>A9F79125</v>
          </cell>
          <cell r="C487" t="str">
            <v>АВТ. ВЫКЛ.iC60N 1П 25A C</v>
          </cell>
        </row>
        <row r="488">
          <cell r="B488" t="str">
            <v>15020DEK</v>
          </cell>
          <cell r="C488" t="str">
            <v>Диф. автомат 4Р 16А 30мА тип AC х-ка С ДИФ-101 4,5кА DE</v>
          </cell>
        </row>
        <row r="489">
          <cell r="B489" t="str">
            <v>15045DEK</v>
          </cell>
          <cell r="C489" t="str">
            <v>Диф. автомат 4Р 25А 300мА тип AC х-ка С ДИФ-101 4,5кА D</v>
          </cell>
        </row>
        <row r="490">
          <cell r="B490" t="str">
            <v>A9F74102</v>
          </cell>
          <cell r="C490" t="str">
            <v>АВТ. ВЫКЛ.iC60N 1П 2A C</v>
          </cell>
        </row>
        <row r="491">
          <cell r="B491" t="str">
            <v>A9F79106</v>
          </cell>
          <cell r="C491" t="str">
            <v>АВТ. ВЫКЛ.iC60N 1П 6A C</v>
          </cell>
        </row>
        <row r="492">
          <cell r="B492" t="str">
            <v>14086DEK</v>
          </cell>
          <cell r="C492" t="str">
            <v>УЗО 4P 32А 100мА AC УЗО-03 6кА DEKraft</v>
          </cell>
        </row>
        <row r="493">
          <cell r="B493" t="str">
            <v>A9A15310</v>
          </cell>
          <cell r="C493" t="str">
            <v>ЩИТ.РОЗ. iPC DIN 2П+T 16A 250В НЕМ</v>
          </cell>
        </row>
        <row r="494">
          <cell r="B494" t="str">
            <v>A9F79110</v>
          </cell>
          <cell r="C494" t="str">
            <v>АВТ. ВЫКЛ.iC60N 1П 10A C</v>
          </cell>
        </row>
        <row r="495">
          <cell r="B495" t="str">
            <v>A9F79120</v>
          </cell>
          <cell r="C495" t="str">
            <v>АВТ. ВЫКЛ.iC60N 1П 20A C</v>
          </cell>
        </row>
        <row r="496">
          <cell r="B496" t="str">
            <v>A9F75106</v>
          </cell>
          <cell r="C496" t="str">
            <v>АВТ. ВЫКЛ.iC60N 1П 6A D</v>
          </cell>
        </row>
        <row r="497">
          <cell r="B497" t="str">
            <v>A9F79116</v>
          </cell>
          <cell r="C497" t="str">
            <v>АВТ. ВЫКЛ.iC60N 1П 16A C</v>
          </cell>
        </row>
        <row r="498">
          <cell r="B498" t="str">
            <v>14052DEK</v>
          </cell>
          <cell r="C498" t="str">
            <v>УЗО 2P 10А 30мА AC УЗО-03 6кА DEKraft</v>
          </cell>
        </row>
        <row r="499">
          <cell r="B499" t="str">
            <v>A9F75116</v>
          </cell>
          <cell r="C499" t="str">
            <v>АВТ. ВЫКЛ.iC60N 1П 16A D</v>
          </cell>
        </row>
        <row r="500">
          <cell r="B500" t="str">
            <v>11053DEK</v>
          </cell>
          <cell r="C500" t="str">
            <v>ВА101-1Р-010А-C_авт. выкл.</v>
          </cell>
        </row>
        <row r="501">
          <cell r="B501" t="str">
            <v>11050DEK</v>
          </cell>
          <cell r="C501" t="str">
            <v>ВА101-1Р-002А-C_авт. выкл.</v>
          </cell>
        </row>
        <row r="502">
          <cell r="B502" t="str">
            <v>14053DEK</v>
          </cell>
          <cell r="C502" t="str">
            <v>УЗО 2P 16А 30мА AC УЗО-03 6кА DEKraft</v>
          </cell>
        </row>
        <row r="503">
          <cell r="B503" t="str">
            <v>16005DEK</v>
          </cell>
          <cell r="C503" t="str">
            <v>Диф. автомат 1Р+N 25А 30мА тип AC х-ка С ДИФ-102 4,5кА</v>
          </cell>
        </row>
        <row r="504">
          <cell r="B504" t="str">
            <v>14077DEK</v>
          </cell>
          <cell r="C504" t="str">
            <v>УЗО 4P 16А 30мА AC УЗО-03 6кА DEKraft</v>
          </cell>
        </row>
        <row r="505">
          <cell r="B505" t="str">
            <v>14078DEK</v>
          </cell>
          <cell r="C505" t="str">
            <v>УЗО 4P 25А 30мА AC УЗО-03 6кА DEKraft</v>
          </cell>
        </row>
        <row r="506">
          <cell r="B506" t="str">
            <v>15024DEK</v>
          </cell>
          <cell r="C506" t="str">
            <v>Диф. автомат 4Р 40А 30мА тип AC х-ка С ДИФ-101 4,5кА DE</v>
          </cell>
        </row>
        <row r="507">
          <cell r="B507" t="str">
            <v>A9S60132</v>
          </cell>
          <cell r="C507" t="str">
            <v>ВЫКЛЮЧАТЕЛЬ НАГРУЗКИ iSW 1П 32A</v>
          </cell>
        </row>
        <row r="508">
          <cell r="B508" t="str">
            <v>A9A26981</v>
          </cell>
          <cell r="C508" t="str">
            <v>20 КРЫШЕК ВИНТОВ ПО 4П (РАЗДЕЛЯЕМЫЕ) ДЛЯ iC60 iID</v>
          </cell>
        </row>
        <row r="509">
          <cell r="B509" t="str">
            <v>A9F74201</v>
          </cell>
          <cell r="C509" t="str">
            <v>АВТ. ВЫКЛ.iC60N 2П 1A C</v>
          </cell>
        </row>
        <row r="510">
          <cell r="B510" t="str">
            <v>A9F73204</v>
          </cell>
          <cell r="C510" t="str">
            <v>АВТ. ВЫКЛ.iC60N 2П 4A B</v>
          </cell>
        </row>
        <row r="511">
          <cell r="B511" t="str">
            <v>11113DEK</v>
          </cell>
          <cell r="C511" t="str">
            <v>ВА101-2Р-010А-D_авт. выкл.</v>
          </cell>
        </row>
        <row r="512">
          <cell r="B512" t="str">
            <v>A9F73201</v>
          </cell>
          <cell r="C512" t="str">
            <v>АВТ. ВЫКЛ.iC60N 2П 1A B</v>
          </cell>
        </row>
        <row r="513">
          <cell r="B513" t="str">
            <v>11064DEK</v>
          </cell>
          <cell r="C513" t="str">
            <v>ВА101-2Р-006А-C_авт. выкл.</v>
          </cell>
        </row>
        <row r="514">
          <cell r="B514" t="str">
            <v>A9F79210</v>
          </cell>
          <cell r="C514" t="str">
            <v>АВТ. ВЫКЛ.iC60N 2П 10A C</v>
          </cell>
        </row>
        <row r="515">
          <cell r="B515" t="str">
            <v>11065DEK</v>
          </cell>
          <cell r="C515" t="str">
            <v>ВА101-2Р-010А-C_авт. выкл.</v>
          </cell>
        </row>
        <row r="516">
          <cell r="B516" t="str">
            <v>A9F79216</v>
          </cell>
          <cell r="C516" t="str">
            <v>АВТ. ВЫКЛ.iC60N 2П 16A C</v>
          </cell>
        </row>
        <row r="517">
          <cell r="B517" t="str">
            <v>11065DEK</v>
          </cell>
          <cell r="C517" t="str">
            <v>ВА101-2Р-010А-C_авт. выкл.</v>
          </cell>
        </row>
        <row r="518">
          <cell r="B518" t="str">
            <v>11066DEK</v>
          </cell>
          <cell r="C518" t="str">
            <v>Авт. выкл. 2Р 16А х-ка C ВА-101 4,5кА DEKraft</v>
          </cell>
        </row>
        <row r="519">
          <cell r="B519" t="str">
            <v>A9F79220</v>
          </cell>
          <cell r="C519" t="str">
            <v>АВТ. ВЫКЛ.iC60N 2П 20A C</v>
          </cell>
        </row>
        <row r="520">
          <cell r="B520" t="str">
            <v>A9F74204</v>
          </cell>
          <cell r="C520" t="str">
            <v>АВТ. ВЫКЛ.iC60N 2П 4A C</v>
          </cell>
        </row>
        <row r="521">
          <cell r="B521" t="str">
            <v>A9F78210</v>
          </cell>
          <cell r="C521" t="str">
            <v>АВТ. ВЫКЛ.iC60N 2П 10A B</v>
          </cell>
        </row>
        <row r="522">
          <cell r="B522" t="str">
            <v>A9F78206</v>
          </cell>
          <cell r="C522" t="str">
            <v>АВТ. ВЫКЛ.iC60N 2П 6A B</v>
          </cell>
        </row>
        <row r="523">
          <cell r="B523" t="str">
            <v>A9F73202</v>
          </cell>
          <cell r="C523" t="str">
            <v>АВТ. ВЫКЛ.iC60N 2П 2A B</v>
          </cell>
        </row>
        <row r="524">
          <cell r="B524" t="str">
            <v>A9F79316</v>
          </cell>
          <cell r="C524" t="str">
            <v>АВТ. ВЫКЛ.iC60N 3П 16A C</v>
          </cell>
        </row>
        <row r="525">
          <cell r="B525" t="str">
            <v>A9F79340</v>
          </cell>
          <cell r="C525" t="str">
            <v>АВТ. ВЫКЛ.iC60N 3П 40A C</v>
          </cell>
        </row>
        <row r="526">
          <cell r="B526" t="str">
            <v>A9F74304</v>
          </cell>
          <cell r="C526" t="str">
            <v>АВТ. ВЫКЛ.iC60N 3П 4A C</v>
          </cell>
        </row>
        <row r="527">
          <cell r="B527" t="str">
            <v>A9F79325</v>
          </cell>
          <cell r="C527" t="str">
            <v>АВТ. ВЫКЛ.iC60N 3П 25A C</v>
          </cell>
        </row>
        <row r="528">
          <cell r="B528" t="str">
            <v>A9F79332</v>
          </cell>
          <cell r="C528" t="str">
            <v>АВТ. ВЫКЛ.iC60N 3П 32A C</v>
          </cell>
        </row>
        <row r="529">
          <cell r="B529" t="str">
            <v>A9F73402</v>
          </cell>
          <cell r="C529" t="str">
            <v>АВТ. ВЫКЛ.iC60N 4П 2A B</v>
          </cell>
        </row>
        <row r="530">
          <cell r="B530" t="str">
            <v>A9F79416</v>
          </cell>
          <cell r="C530" t="str">
            <v>АВТ. ВЫКЛ.iC60N 4П 16A C</v>
          </cell>
        </row>
        <row r="531">
          <cell r="B531" t="str">
            <v>A9F79225</v>
          </cell>
          <cell r="C531" t="str">
            <v>АВТ. ВЫКЛ.iC60N 2П 25A C</v>
          </cell>
        </row>
        <row r="532">
          <cell r="B532" t="str">
            <v>A9K24232</v>
          </cell>
          <cell r="C532" t="str">
            <v>АВТ. ВЫКЛ.iK60 2П 32A C</v>
          </cell>
        </row>
        <row r="533">
          <cell r="B533" t="str">
            <v>12077DEK</v>
          </cell>
          <cell r="C533" t="str">
            <v>Авт. выкл. 2Р 32А х-ка C ВА-103 6кА DEKraft</v>
          </cell>
        </row>
        <row r="534">
          <cell r="B534" t="str">
            <v>A9F79250</v>
          </cell>
          <cell r="C534" t="str">
            <v>АВТ. ВЫКЛ.iC60N 2П 50A C</v>
          </cell>
        </row>
        <row r="535">
          <cell r="B535" t="str">
            <v>11080DEK</v>
          </cell>
          <cell r="C535" t="str">
            <v>ВА101-3Р-025А-C_авт. выкл.</v>
          </cell>
        </row>
        <row r="536">
          <cell r="B536" t="str">
            <v>A9F79363</v>
          </cell>
          <cell r="C536" t="str">
            <v>АВТ. ВЫКЛ.iC60N 3П 63A C</v>
          </cell>
        </row>
        <row r="537">
          <cell r="B537" t="str">
            <v>A9K24316</v>
          </cell>
          <cell r="C537" t="str">
            <v>АВТ. ВЫКЛ.iK60 3П 16A C</v>
          </cell>
        </row>
        <row r="538">
          <cell r="B538" t="str">
            <v>A9F79240</v>
          </cell>
          <cell r="C538" t="str">
            <v>АВТ. ВЫКЛ.iK60 2П 40A C</v>
          </cell>
        </row>
        <row r="539">
          <cell r="B539" t="str">
            <v>A9F79306</v>
          </cell>
          <cell r="C539" t="str">
            <v>АВТ. ВЫКЛ.iC60N 3П 6A C</v>
          </cell>
        </row>
        <row r="540">
          <cell r="B540" t="str">
            <v>A9F79310</v>
          </cell>
          <cell r="C540" t="str">
            <v>АВТ. ВЫКЛ.iC60N 3П 10A C</v>
          </cell>
        </row>
        <row r="541">
          <cell r="B541" t="str">
            <v>13180DEK</v>
          </cell>
          <cell r="C541" t="str">
            <v>Авт. выкл. 3P C кривая 32A 10кА ВА-105</v>
          </cell>
        </row>
        <row r="542">
          <cell r="B542" t="str">
            <v>13008DEK</v>
          </cell>
          <cell r="C542" t="str">
            <v>Авт. выкл. 3Р 80А х-ка С ВА-201 10кА DEKraft</v>
          </cell>
        </row>
        <row r="543">
          <cell r="B543" t="str">
            <v>11090DEK</v>
          </cell>
          <cell r="C543" t="str">
            <v>Авт. выкл. 4Р 16А х-ка C ВА-101 4,5кА DEKraft</v>
          </cell>
        </row>
        <row r="544">
          <cell r="B544" t="str">
            <v>11092DEK</v>
          </cell>
          <cell r="C544" t="str">
            <v>Авт. выкл. 4Р 25А х-ка C ВА-101 4,5кА DEKraft</v>
          </cell>
        </row>
        <row r="545">
          <cell r="B545" t="str">
            <v>A9F79232</v>
          </cell>
          <cell r="C545" t="str">
            <v>АВТ. ВЫКЛ.iC60N 2П 32A C</v>
          </cell>
        </row>
        <row r="546">
          <cell r="B546" t="str">
            <v>A9A26948</v>
          </cell>
          <cell r="C546" t="str">
            <v>iMX+OF РАСЦЕПИТЕЛЬ 12-24В АС (АКТИ 9)</v>
          </cell>
        </row>
        <row r="547">
          <cell r="B547" t="str">
            <v>A9A15096</v>
          </cell>
          <cell r="C547" t="str">
            <v>ДОП КОНТАКТ ПЕРЕКИДНОЙ ДЛЯ ВЫКЛЮЧАТЕЛЯ НАГРУЗКИ iS</v>
          </cell>
        </row>
        <row r="548">
          <cell r="B548" t="str">
            <v>A9A26924</v>
          </cell>
          <cell r="C548" t="str">
            <v>iOF КОНТАКТ СОСТОЯНИЯ (АКТИ 9)</v>
          </cell>
        </row>
        <row r="549">
          <cell r="B549" t="str">
            <v>A9A26927</v>
          </cell>
          <cell r="C549" t="str">
            <v>iSD КОНТАКТ СОСТОЯНИЯ (АКТИ 9)</v>
          </cell>
        </row>
        <row r="550">
          <cell r="B550" t="str">
            <v>A9A26929</v>
          </cell>
          <cell r="C550" t="str">
            <v>iOF/SD+OF КОНТАКТ СОСТОЯНИЯ (АКТИ 9)</v>
          </cell>
        </row>
        <row r="551">
          <cell r="B551">
            <v>4197</v>
          </cell>
          <cell r="C551" t="str">
            <v>ЭКРАН ДЛЯ СИЛОВЫХ ШИН 630 A</v>
          </cell>
        </row>
        <row r="552">
          <cell r="B552">
            <v>4546</v>
          </cell>
          <cell r="C552" t="str">
            <v>ИЗОЛИР.ГИБ.ШИНКА, 24Х5 ММ, ДЛИНА 1800 ММ</v>
          </cell>
        </row>
        <row r="553">
          <cell r="B553">
            <v>4121</v>
          </cell>
          <cell r="C553" t="str">
            <v>СИЛ.ШИНЫ POWERCLIP, 160 A, 4П, 1000 ММ</v>
          </cell>
        </row>
        <row r="554">
          <cell r="B554">
            <v>4512</v>
          </cell>
          <cell r="C554" t="str">
            <v>ПЕРФ. ШИНА РЕ 25х5 мм</v>
          </cell>
        </row>
        <row r="555">
          <cell r="B555" t="str">
            <v>NSYBVS800</v>
          </cell>
          <cell r="C555" t="str">
            <v>2 ВЕРТ. ОПОРЫ ДЛЯ ДЛЯ СБ. ШИН 3200A
800</v>
          </cell>
        </row>
        <row r="556">
          <cell r="B556">
            <v>4746</v>
          </cell>
          <cell r="C556" t="str">
            <v>ИЗОЛИР.ГИБ.ШИНКА, 24Х5 ММ, ДЛИНА 1800 ММ</v>
          </cell>
        </row>
        <row r="557">
          <cell r="B557" t="str">
            <v>ABE7P16T334</v>
          </cell>
          <cell r="C557" t="str">
            <v>TELEFAST БАЗА ПОД 16 СЪЕМ РЕЛЕ 12.5ММ, ПРЕДОХР. НА КАНАЛ (ЗАКАЗ РЕЛЕ ОТДЕЛЬНО)</v>
          </cell>
        </row>
        <row r="558">
          <cell r="B558">
            <v>8103</v>
          </cell>
          <cell r="C558" t="str">
            <v>НАВЕСНОЙ ШКАФ, Ш = 600 ММ, 9 МОДУЛЕЙ</v>
          </cell>
        </row>
        <row r="559">
          <cell r="B559">
            <v>8104</v>
          </cell>
          <cell r="C559" t="str">
            <v>НАВЕСНОЙ ШКАФ, Ш = 600 ММ, 12 МОДУЛЕЙ</v>
          </cell>
        </row>
        <row r="560">
          <cell r="B560">
            <v>8123</v>
          </cell>
          <cell r="C560" t="str">
            <v>НЕПРОЗР-Я ДВЕРЬ НАВЕСНОГО ШКАФА, 9 МОД</v>
          </cell>
        </row>
        <row r="561">
          <cell r="B561">
            <v>8134</v>
          </cell>
          <cell r="C561" t="str">
            <v>ПРОЗР-Я ДВЕРЬ НАВЕСНОГО ШКАФА, 12 МОД</v>
          </cell>
        </row>
        <row r="562">
          <cell r="B562" t="str">
            <v>NSYFXT6060</v>
          </cell>
          <cell r="C562" t="str">
            <v>ФИКСИР. ПОЛКА 600Х600</v>
          </cell>
        </row>
        <row r="563">
          <cell r="B563" t="str">
            <v>NSYFXT8060</v>
          </cell>
          <cell r="C563" t="str">
            <v>ФИКСИР. ПОЛКА 800Х600</v>
          </cell>
        </row>
        <row r="564">
          <cell r="B564" t="str">
            <v>CA3KN22MD</v>
          </cell>
          <cell r="C564" t="str">
            <v>ПРОМЕЖУТОЧНОЕ РЕЛЕ 2НО+2НЗ, ЦЕПЬ УПРАВЛЕНИЯ 220В ПОСТОЯННОГО ТОКА</v>
          </cell>
        </row>
        <row r="565">
          <cell r="B565" t="str">
            <v>LP1K09008MD</v>
          </cell>
          <cell r="C565" t="str">
            <v>КОНТАКТОР K 4Р (2 НО + 2 НЗ),AC1.20A,220V DС,ЗАЖИМ ПОД ВИНТ</v>
          </cell>
        </row>
        <row r="566">
          <cell r="B566" t="str">
            <v>140XTS00206</v>
          </cell>
          <cell r="C566" t="str">
            <v>КАБЕЛЬ CABLE-FAST С КОЛОДКОЙ XTS-002, 1.8M</v>
          </cell>
        </row>
        <row r="567">
          <cell r="B567" t="str">
            <v>NSYSFMDR</v>
          </cell>
          <cell r="C567" t="str">
            <v>МЕХ. ФИКСАТОР ДВЕРИ SF</v>
          </cell>
        </row>
        <row r="568">
          <cell r="B568" t="str">
            <v>ABFM32H301</v>
          </cell>
        </row>
        <row r="569">
          <cell r="B569" t="str">
            <v>ABE7P16F310</v>
          </cell>
          <cell r="C569" t="str">
            <v>TELEFAST БАЗА ПОД 16 СЪЕМНЫХ РЕЛЕ ШИРИНОЙ 12,5ММ (ЗАКАЗ РЕЛЕ ОТДЕЛЬНО)</v>
          </cell>
        </row>
        <row r="570">
          <cell r="B570" t="str">
            <v>NSYSDT8</v>
          </cell>
          <cell r="C570" t="str">
            <v>ПОДСТАВКА ДЛЯ ДОКУМ. НА ДВЕРЬ 800ММ</v>
          </cell>
        </row>
        <row r="571">
          <cell r="B571" t="str">
            <v>140XTS00209</v>
          </cell>
          <cell r="C571" t="str">
            <v>КАБЕЛЬ CABLE-FAST С КОЛОДКОЙ XTS-002, 2.7M</v>
          </cell>
        </row>
        <row r="572">
          <cell r="B572" t="str">
            <v>ABFM32H150</v>
          </cell>
          <cell r="C572" t="str">
            <v>TELEFAST КАБЕЛЬ ИНФОРМАЦ, 2ХНЕ10 НА 2*16 КАНАЛОВ, ДЛЯ ПЛК QUANTUM, ДЛИНА
1,5M</v>
          </cell>
        </row>
        <row r="573">
          <cell r="B573" t="str">
            <v>LC1D09MD</v>
          </cell>
          <cell r="C573" t="str">
            <v>КОНТАКТОР.3Р,9A,НО+НЗ,220V-,ОГРАН.</v>
          </cell>
        </row>
        <row r="574">
          <cell r="B574" t="str">
            <v>990NAD23010</v>
          </cell>
          <cell r="C574" t="str">
            <v>MODBUS PLUS TAP, ПОВЫШ. ПРОЧ. В IP65, ДЛЯ 2 ОСНОВН.КАБЕЛЕЙ &amp; 2 КАБЕЛЕЙ ОТВЕТВЛ.</v>
          </cell>
        </row>
        <row r="575">
          <cell r="B575" t="str">
            <v>CAD50MD</v>
          </cell>
          <cell r="C575" t="str">
            <v>ПРОМЕЖУТОЧНОЕ РЕЛЕ 5НО, ЦЕПЬ УПРАВЛЕНИЯ 220В ПОСТОЯННОГО ТОКА, ВИНТОВОЙ ЗАЖИМ</v>
          </cell>
        </row>
        <row r="576">
          <cell r="B576" t="str">
            <v>ABE7P16T330</v>
          </cell>
          <cell r="C576" t="str">
            <v>TELEFAST БАЗА НА 16 ВЫХ, СО СЪЕМНЫМИ ЭЛЕКТРОМЕХ. РЕЛЕ 12 ММ, 1 ПЕРЕКИДНОЙ</v>
          </cell>
        </row>
        <row r="577">
          <cell r="B577" t="str">
            <v>ABS7EC3B2</v>
          </cell>
          <cell r="C577" t="str">
            <v>TELEFAST РЕЛЕ СТАТИЧЕСКОЕ =24В 12,5ММ</v>
          </cell>
        </row>
        <row r="578">
          <cell r="B578" t="str">
            <v>CAD32MD</v>
          </cell>
          <cell r="C578" t="str">
            <v>ПРОМЕЖУТОЧНОЕ РЕЛЕ 3НО+2НЗ, ЦЕПЬ УПРАВЛЕНИЯ 220В ПОСТОЯННОГО ТОКА</v>
          </cell>
        </row>
        <row r="579">
          <cell r="B579" t="str">
            <v>ABFM32H300</v>
          </cell>
          <cell r="C579" t="str">
            <v>КАБЕЛЬ ИНФОРМАЦИОННЫЙ 2X16К QUANTUM 3M</v>
          </cell>
        </row>
        <row r="580">
          <cell r="B580" t="str">
            <v>140CFA04000</v>
          </cell>
          <cell r="C580" t="str">
            <v>КЛЕММНАЯ КОЛОДКА CABLE-FAST A, УНИВЕРС., ПРЯМОЕ СОЕД., НЕТ.ПРЕД.</v>
          </cell>
        </row>
        <row r="581">
          <cell r="B581" t="str">
            <v>ABR7S21</v>
          </cell>
          <cell r="C581" t="str">
            <v>TELEFAST РЕЛЕ ЭЛЕКТРОМЕХАНИЧЕСКОЕ
=24В 1NO 5A 10ММ</v>
          </cell>
        </row>
        <row r="582">
          <cell r="B582">
            <v>975951000</v>
          </cell>
          <cell r="C582" t="str">
            <v>КАБЕЛЬ RIO RG-11 305М.</v>
          </cell>
        </row>
        <row r="583">
          <cell r="B583" t="str">
            <v>AB1ALN35</v>
          </cell>
          <cell r="C583" t="str">
            <v>ПЕРЕМЫЧКА ДЛЯ КЛЕММНИКОВ СЕЧЕНИЕМ 35ММ2, 20 ПОЛЮСНАЯ</v>
          </cell>
        </row>
        <row r="584">
          <cell r="B584" t="str">
            <v>AB1ALN16</v>
          </cell>
          <cell r="C584" t="str">
            <v>ПЕРЕМЫЧКА 16ММ2 40 ПОЛЮСН</v>
          </cell>
        </row>
        <row r="585">
          <cell r="B585" t="str">
            <v>AB1ALN10</v>
          </cell>
          <cell r="C585" t="str">
            <v>ПЕРЕМЫЧКА ДЛЯ КЛЕММНИКОВ СЕЧЕНИЕМ 10ММ2, 40 ПОЛЮСНАЯ</v>
          </cell>
        </row>
        <row r="586">
          <cell r="B586" t="str">
            <v>AB1ALN1610</v>
          </cell>
          <cell r="C586" t="str">
            <v>ПЕРЕМЫЧКА ДЛЯ КЛЕММНИКОВ СЕЧЕНИЕМ 16ММ2, 10 ПОЛЮСНАЯ</v>
          </cell>
        </row>
        <row r="587">
          <cell r="B587" t="str">
            <v>AB1ALN412</v>
          </cell>
          <cell r="C587" t="str">
            <v>ПЕРЕМЫЧКА 4ММ2 12 ПОЛЮСН</v>
          </cell>
        </row>
        <row r="588">
          <cell r="B588" t="str">
            <v>AB1AL2</v>
          </cell>
          <cell r="C588" t="str">
            <v>ПЕРЕМЫЧКА НЕИЗОЛИРОВАННАЯ ДЛЯ КЛЕММНИКОВ СЕЧЕНИЕМ 2,5ММ2, 80 ПОЛЮСНАЯ</v>
          </cell>
        </row>
        <row r="589">
          <cell r="B589" t="str">
            <v>AB1AL4</v>
          </cell>
          <cell r="C589" t="str">
            <v>ПЕРЕМЫЧКА НЕИЗОЛИРОВАННАЯ ДЛЯ КЛЕММНИКОВ СЕЧЕНИЕМ 4ММ2, 70 ПОЛЮСНАЯ</v>
          </cell>
        </row>
        <row r="590">
          <cell r="B590" t="str">
            <v>AB1AL6</v>
          </cell>
          <cell r="C590" t="str">
            <v>ПЕРЕМЫЧКА 6 ММ2</v>
          </cell>
        </row>
        <row r="591">
          <cell r="B591">
            <v>21098</v>
          </cell>
          <cell r="C591" t="str">
            <v>ПЕРЕХОДНИКИ ИЗОЛИРОВАННЫЕ ДЛЯ ШИН 9ММ (4ШТ)  (ЗУБЫ)</v>
          </cell>
        </row>
        <row r="592">
          <cell r="B592">
            <v>14885</v>
          </cell>
          <cell r="C592" t="str">
            <v>4 СОЕДИНИТЕЛЯ ДЛЯ КАБЕЛЕЙ (ЗУБОВ)</v>
          </cell>
        </row>
        <row r="593">
          <cell r="B593">
            <v>21089</v>
          </cell>
          <cell r="C593" t="str">
            <v>ГРЕБ. ШИНКИ 1П+Н 48 МОД. 9ММ</v>
          </cell>
        </row>
        <row r="594">
          <cell r="B594">
            <v>21093</v>
          </cell>
          <cell r="C594" t="str">
            <v>ГРЕБ. ШИНКИ 3П+Н 48 МОД. 9ММ</v>
          </cell>
        </row>
        <row r="595">
          <cell r="B595">
            <v>14891</v>
          </cell>
          <cell r="C595" t="str">
            <v>2 ГРЕБЕНЧАТЫЕ ШИНКИ 1П. 48 МОД. 9ММ</v>
          </cell>
        </row>
        <row r="596">
          <cell r="B596">
            <v>14881</v>
          </cell>
          <cell r="C596" t="str">
            <v>ГРЕБЕНЧАТАЯ ШИНКА 1П. 24 МОДУЛЯ 9ММ</v>
          </cell>
        </row>
        <row r="597">
          <cell r="B597">
            <v>14883</v>
          </cell>
          <cell r="C597" t="str">
            <v>ГРЕБЕНЧАТАЯ ШИНКА 3П.</v>
          </cell>
        </row>
        <row r="598">
          <cell r="B598">
            <v>14894</v>
          </cell>
          <cell r="C598" t="str">
            <v>2 ГРЕБЕНЧАТЫЕ ШИНКИ 4П. 48 МОД. 9ММ</v>
          </cell>
        </row>
        <row r="599">
          <cell r="B599">
            <v>21503</v>
          </cell>
          <cell r="C599" t="str">
            <v>ГРЕБЕНЧАТАЯ ШИНКА 1П+Н 48 МОД. 9ММ</v>
          </cell>
        </row>
        <row r="600">
          <cell r="B600">
            <v>21507</v>
          </cell>
          <cell r="C600" t="str">
            <v>ШИНКА ГРЕБЕНЧАТАЯ 1П+H (NL1NL2NL3…(ШАГ9ММ)) 24 МОД.18ММ 80А РАЗРЕЗАЕМАЯ</v>
          </cell>
        </row>
        <row r="601">
          <cell r="B601">
            <v>21505</v>
          </cell>
          <cell r="C601" t="str">
            <v>ГРЕБЕНЧАТАЯ ШИНКА 3П+Н 12 МОД. 9ММ</v>
          </cell>
        </row>
        <row r="602">
          <cell r="B602">
            <v>14890</v>
          </cell>
          <cell r="C602" t="str">
            <v>ГРЕБЕНЧАТАЯ ШИНКА 1П+Н 48 МОД. 9ММ</v>
          </cell>
        </row>
        <row r="603">
          <cell r="B603">
            <v>21094</v>
          </cell>
          <cell r="C603" t="str">
            <v>ЗАГЛУШКИ БОКОВЫЕ ДЛЯ ГРЕБЕНЧАТЫХ ШИНОК 1П+H (40ШТ)</v>
          </cell>
        </row>
        <row r="604">
          <cell r="B604">
            <v>14886</v>
          </cell>
          <cell r="C604" t="str">
            <v>40КОНЦ.КОЛП.ДЛЯ ГР.ШИНОК 1П/2П/1П+Н</v>
          </cell>
        </row>
        <row r="605">
          <cell r="B605" t="str">
            <v>HMHJTW7354</v>
          </cell>
          <cell r="C605" t="str">
            <v>MAGELIS PC</v>
          </cell>
        </row>
        <row r="606">
          <cell r="B606" t="str">
            <v>ATV31HD11N4</v>
          </cell>
          <cell r="C606" t="str">
            <v>ПРЕОБР ЧАСТОТЫ 11КВТ 380-500В 3Ф</v>
          </cell>
        </row>
        <row r="607">
          <cell r="B607" t="str">
            <v>ATV58HU41N4</v>
          </cell>
          <cell r="C607" t="str">
            <v>ПРЕОБР ЧАСТОТЫ ATV58 4КВТ 400В 3Ф</v>
          </cell>
        </row>
        <row r="608">
          <cell r="B608" t="str">
            <v>ABE7R08S216</v>
          </cell>
          <cell r="C608" t="str">
            <v>TELEFAST БАЗА НА 8 ДИСКРЕТНЫХ РЕЛЕЙНЫХ ВЫХОДОВ (1</v>
          </cell>
        </row>
        <row r="609">
          <cell r="B609" t="str">
            <v>ABE7BV20</v>
          </cell>
          <cell r="C609" t="str">
            <v>TELEFAST ДОПОЛНИТЕЛЬНЫЙ КЛЕММНИК НА 20 ТОЧЕК, КОНТАКТЫ С ВИНТОВЫМ ЗАЖИМОМ</v>
          </cell>
        </row>
        <row r="610">
          <cell r="B610" t="str">
            <v>140SHS94500</v>
          </cell>
          <cell r="C610" t="str">
            <v>ПРОГРАММНЫЙ МОДУЛЬ ГОРЯЧЕГО РЕЗЕРВА ДЛЯ MODSOFT (ВХ. В КОМПЛЕКТ)</v>
          </cell>
        </row>
        <row r="611">
          <cell r="B611" t="str">
            <v>TSXCXP223</v>
          </cell>
          <cell r="C611" t="str">
            <v>КАБЕЛЬ TSXCAY* &lt;-&gt; TSXTAPMAS/ABE7CPA01</v>
          </cell>
        </row>
        <row r="612">
          <cell r="B612" t="str">
            <v>TSXCXP23302A0616CT</v>
          </cell>
          <cell r="C612" t="str">
            <v>КАБЕЛЬ TSXCAY* &lt;-&gt; TSXTAPMAS/ABE7CPA01</v>
          </cell>
        </row>
        <row r="613">
          <cell r="B613" t="str">
            <v>CCA783</v>
          </cell>
          <cell r="C613" t="str">
            <v>Кабель PC connection cord</v>
          </cell>
        </row>
        <row r="614">
          <cell r="B614">
            <v>1701050200110</v>
          </cell>
          <cell r="C614" t="str">
            <v>CBL-RJ45M9-150    КАБЕЛЬ RJ45-COM</v>
          </cell>
        </row>
        <row r="615">
          <cell r="B615">
            <v>29627</v>
          </cell>
          <cell r="C615" t="str">
            <v>3П3Т АВТОМ. ВЫКЛ. TM32D NSX100F</v>
          </cell>
        </row>
        <row r="616">
          <cell r="B616">
            <v>29629</v>
          </cell>
          <cell r="C616" t="str">
            <v>3П ВЫКЛ. РАЗЪЕД. NSX100NA</v>
          </cell>
        </row>
        <row r="617">
          <cell r="B617">
            <v>29635</v>
          </cell>
          <cell r="C617" t="str">
            <v>3П3Т АВТОМ. ВЫКЛ. TM32D NSX100F</v>
          </cell>
        </row>
        <row r="618">
          <cell r="B618">
            <v>32516</v>
          </cell>
          <cell r="C618" t="str">
            <v>ЦОКОЛЬ 3П NS400/630</v>
          </cell>
        </row>
        <row r="619">
          <cell r="B619">
            <v>32895</v>
          </cell>
          <cell r="C619" t="str">
            <v>NS400N 1000В STR23SP400 3П3T+КЛЕМ.ЗАГЛ.</v>
          </cell>
        </row>
        <row r="620">
          <cell r="B620" t="str">
            <v>GCRNS6301600CB</v>
          </cell>
          <cell r="C620" t="str">
            <v>ВЫКЛЮЧАТЕЛЬ-РАЗЪЕДИНИТЕЛЬ    INS1250 3П 31334-?</v>
          </cell>
        </row>
        <row r="621">
          <cell r="B621" t="str">
            <v>ABL8TEQ24600</v>
          </cell>
          <cell r="C621" t="str">
            <v>ИСТОЧНИК ПИТАНИЯ 3-ФАЗНЫЙ 24В 60A</v>
          </cell>
        </row>
        <row r="622">
          <cell r="B622">
            <v>29359</v>
          </cell>
          <cell r="C622" t="str">
            <v>АКСЕСС.ПРИСОЕД. ОТХОД.ЛИНИИ 4П NS100/250</v>
          </cell>
        </row>
        <row r="623">
          <cell r="B623">
            <v>29451</v>
          </cell>
          <cell r="C623" t="str">
            <v>comhfcn NS 100/250 ADAPTER SDE</v>
          </cell>
        </row>
        <row r="624">
          <cell r="B624" t="str">
            <v>GV3M63</v>
          </cell>
          <cell r="C624" t="str">
            <v>АВТ. ВЫКЛ С КОМБ. РАСЦЕП.40-63A</v>
          </cell>
        </row>
        <row r="625">
          <cell r="B625" t="str">
            <v>LP2D25004MW</v>
          </cell>
          <cell r="C625" t="str">
            <v>КОНТАКТОР РЕВЕРСИВНЫЙ 3П 220V DC 11KW-400V</v>
          </cell>
        </row>
        <row r="626">
          <cell r="B626" t="str">
            <v>LP1D0901</v>
          </cell>
          <cell r="C626" t="str">
            <v>КОНТАКТОР 3Ф НС 24В</v>
          </cell>
        </row>
        <row r="627">
          <cell r="B627">
            <v>15958</v>
          </cell>
          <cell r="C627" t="str">
            <v>МОДУЛЬНЫЙ КОНТАКТОР CT 25A 1НО 230В</v>
          </cell>
        </row>
        <row r="628">
          <cell r="B628">
            <v>15963</v>
          </cell>
          <cell r="C628" t="str">
            <v>МОДУЛЬНЫЙ КОНТАКТОР CT 25A 4НЗ 230В</v>
          </cell>
        </row>
        <row r="629">
          <cell r="B629">
            <v>16505</v>
          </cell>
          <cell r="C629" t="str">
            <v>ТРАНСФОРМАТОР ТОКА 150/5А</v>
          </cell>
        </row>
        <row r="630">
          <cell r="B630">
            <v>15572</v>
          </cell>
          <cell r="C630" t="str">
            <v>ТРАНСФОРМАТОР ТОКА 400/5А</v>
          </cell>
        </row>
        <row r="631">
          <cell r="B631">
            <v>50439</v>
          </cell>
          <cell r="C631" t="str">
            <v>ТРАНСФОРМАТОР ТОКА IA80 160A</v>
          </cell>
        </row>
        <row r="632">
          <cell r="B632">
            <v>16451</v>
          </cell>
          <cell r="C632" t="str">
            <v>ТРАНСФОРМАТОР ТОКА 50/5А ТРОП. ИСП.</v>
          </cell>
        </row>
        <row r="633">
          <cell r="B633">
            <v>16547</v>
          </cell>
          <cell r="C633" t="str">
            <v>ТРАНСФОРМАТОР ТОКА 4000/5А</v>
          </cell>
        </row>
        <row r="634">
          <cell r="B634" t="str">
            <v>AB1SV2</v>
          </cell>
          <cell r="C634" t="str">
            <v>КАРТРИДЖ СЪЕМНЫЙ С ДИОДОМ ТИПА 1N4007</v>
          </cell>
        </row>
        <row r="635">
          <cell r="B635" t="str">
            <v>171CCS70000</v>
          </cell>
          <cell r="C635" t="str">
            <v>ПРОЦЕССОР MOMENTUM M1 20MHZ, 2KWD LOGIC, 2K REG., 1XMODBUS RS232</v>
          </cell>
        </row>
        <row r="636">
          <cell r="B636" t="str">
            <v>171CCC78010</v>
          </cell>
          <cell r="C636" t="str">
            <v>ПРОЦЕССОР MOMENTUM M1 32MHZ, 18KWD LOGIC, 26K REG., 2XMBUS RS232/485</v>
          </cell>
        </row>
        <row r="637">
          <cell r="B637" t="str">
            <v>172PNN21022</v>
          </cell>
          <cell r="C637" t="str">
            <v>ДОПОЛНИТ.АДАПТЕР MOMENTUM MODBUS+, TOD CLOCK, BATTERY BACKUP</v>
          </cell>
        </row>
        <row r="638">
          <cell r="B638" t="str">
            <v>TSXISPY100</v>
          </cell>
          <cell r="C638" t="str">
            <v>WEIGING MODULE TSX57</v>
          </cell>
        </row>
        <row r="639">
          <cell r="B639" t="str">
            <v>170CPS11100</v>
          </cell>
          <cell r="C639" t="str">
            <v>PS 120/230VAC OUT 24VDC 0.7A</v>
          </cell>
        </row>
        <row r="640">
          <cell r="B640" t="str">
            <v>171CCS70010</v>
          </cell>
          <cell r="C640" t="str">
            <v>PROCESSOR ADAPTER FAST CPU 64K RS232</v>
          </cell>
        </row>
        <row r="641">
          <cell r="B641">
            <v>28941</v>
          </cell>
          <cell r="C641" t="str">
            <v>ПЕРЕД. ВЫНОС.ЧЕРН. РУКОЯТ (INS40- INS160)</v>
          </cell>
        </row>
        <row r="642">
          <cell r="B642" t="str">
            <v>K1F003UC</v>
          </cell>
          <cell r="C642" t="str">
            <v>КУЛАЧКОВЫЙ ПЕРЕК. 22ММ 12А 2+\0\</v>
          </cell>
        </row>
        <row r="643">
          <cell r="B643">
            <v>16017</v>
          </cell>
          <cell r="C643" t="str">
            <v>ПЕРЕКЛЮЧАТЕЛЬ АМПЕРМЕТРОВ 4ПОЗИЦИОННЫЙ</v>
          </cell>
        </row>
        <row r="644">
          <cell r="B644" t="str">
            <v>K1SD55642Z</v>
          </cell>
          <cell r="C644" t="str">
            <v>КУЛАЧКОВЫЙ ПЕРЕК. 3 Позиции</v>
          </cell>
        </row>
        <row r="645">
          <cell r="B645" t="str">
            <v>140CHS11000</v>
          </cell>
          <cell r="C645" t="str">
            <v>ПРОЦЕССОР ГОРЯЧЕГО РЕЗЕРВА (ВХ. В КОМПЛЕКТ)</v>
          </cell>
        </row>
        <row r="646">
          <cell r="B646" t="str">
            <v>140DCF07700</v>
          </cell>
          <cell r="C646" t="str">
            <v>Time Sync Input Module</v>
          </cell>
        </row>
        <row r="647">
          <cell r="B647" t="str">
            <v>140CPU11303</v>
          </cell>
          <cell r="C647" t="str">
            <v>ЦПУ QUANTUM 186 ОЗУ 512K, 10K РЕГ.,1XMBUS/1ХMBUS+</v>
          </cell>
        </row>
        <row r="648">
          <cell r="B648" t="str">
            <v>TSXP574823M</v>
          </cell>
          <cell r="C648" t="str">
            <v>ПРОЦЕССОР TSX PREMIUM 4823 L3</v>
          </cell>
        </row>
        <row r="649">
          <cell r="B649" t="str">
            <v>171CCC98030</v>
          </cell>
          <cell r="C649" t="str">
            <v>ПРОЦЕССОР MOMENTUM M1 50MHZ, 512KB/1MB FLASH, IEC PR., 1XTCP/IP,
1XRS485</v>
          </cell>
        </row>
        <row r="650">
          <cell r="B650">
            <v>87504</v>
          </cell>
          <cell r="C650" t="str">
            <v>РЕЗИСТИВН. НАГРЕВАТЕЛЬ 10ВТ 230В</v>
          </cell>
        </row>
        <row r="651">
          <cell r="B651">
            <v>4431889</v>
          </cell>
          <cell r="C651" t="str">
            <v>Ручка двери SAREL</v>
          </cell>
        </row>
        <row r="652">
          <cell r="B652" t="str">
            <v>HHH6701940001</v>
          </cell>
          <cell r="C652" t="str">
            <v>Ручка двери с кл. SE</v>
          </cell>
        </row>
        <row r="653">
          <cell r="B653" t="str">
            <v>ВПК2112-БУ</v>
          </cell>
          <cell r="C653" t="str">
            <v>ВЫКЛЮЧАТЕЛЬ ПУТЕВОЙ</v>
          </cell>
        </row>
        <row r="654">
          <cell r="B654">
            <v>51338</v>
          </cell>
          <cell r="C654" t="str">
            <v>РУЧКА / ЛИЧИНКА С КЛЮЧОМ</v>
          </cell>
        </row>
        <row r="655">
          <cell r="B655" t="str">
            <v>NSYIN124E1</v>
          </cell>
          <cell r="C655" t="str">
            <v>ЦИЛИНДР. ЛИЧИНКА КЛЮЧ 124</v>
          </cell>
        </row>
        <row r="656">
          <cell r="B656">
            <v>51332</v>
          </cell>
          <cell r="C656" t="str">
            <v>РУЧКА / ЛИЧИНКА С КЛЮЧОМ</v>
          </cell>
        </row>
        <row r="657">
          <cell r="B657">
            <v>17996</v>
          </cell>
          <cell r="C657" t="str">
            <v>РЕШЕТКА SAREL</v>
          </cell>
        </row>
        <row r="658">
          <cell r="B658">
            <v>17911</v>
          </cell>
          <cell r="C658" t="str">
            <v>РЕШЕТКА SAREL</v>
          </cell>
        </row>
        <row r="659">
          <cell r="B659" t="str">
            <v>ABL4RSM24100</v>
          </cell>
          <cell r="C659" t="str">
            <v>БЛОК ПИТАНИЯ SLIM 1ФАЗ 24В 10A</v>
          </cell>
        </row>
        <row r="660">
          <cell r="B660" t="str">
            <v>ABL8RPS24200</v>
          </cell>
          <cell r="C660" t="str">
            <v>Блок питания универсал 1-фазный 24В 20А</v>
          </cell>
        </row>
        <row r="661">
          <cell r="B661" t="str">
            <v>TWDLMDA20DRT</v>
          </cell>
          <cell r="C661" t="str">
            <v>МОДУЛЬНЫЙ ПЛК =24В, 12ВХ/8ВЫХ КЛЕМ.БЛОК</v>
          </cell>
        </row>
        <row r="662">
          <cell r="B662" t="str">
            <v>TWDNAC485T</v>
          </cell>
          <cell r="C662" t="str">
            <v>TWIDO МОДУЛЬ С АДАПТЕР RS485 КЛЕМ. БЛОК</v>
          </cell>
        </row>
        <row r="663">
          <cell r="B663" t="str">
            <v>TWDNOZ485T</v>
          </cell>
          <cell r="C663" t="str">
            <v>TWIDO АДАПТЕР RS485 КЛЕМ. БЛОК</v>
          </cell>
        </row>
        <row r="664">
          <cell r="B664" t="str">
            <v>EGX100MG</v>
          </cell>
          <cell r="C664" t="str">
            <v>ETHERNET ШЛЮЗ EGX100</v>
          </cell>
        </row>
        <row r="665">
          <cell r="B665" t="str">
            <v>TLXCDLUOFS33</v>
          </cell>
          <cell r="C665" t="str">
            <v>OPC СЕРВЕР, OFS V 3.3 LARGE</v>
          </cell>
        </row>
        <row r="666">
          <cell r="B666">
            <v>13508</v>
          </cell>
          <cell r="C666" t="str">
            <v>КЛЕММНЫЙ БЛОК 4P 40A 4X13 ОТВ.</v>
          </cell>
        </row>
        <row r="667">
          <cell r="B667">
            <v>14937</v>
          </cell>
          <cell r="C667" t="str">
            <v>РАСПРЕД. БЛОК, 2 ПОЛЮСА, 25 ММ2</v>
          </cell>
        </row>
        <row r="668">
          <cell r="B668" t="str">
            <v>SK3240200</v>
          </cell>
          <cell r="C668" t="str">
            <v>ВЫХОДНОЙ ФИЛЬТР(РЕШ. ВЕНТ) 255 x 255 x 25 ЦВЕТ- RAL7035</v>
          </cell>
        </row>
        <row r="669">
          <cell r="B669" t="str">
            <v>AB1CP1</v>
          </cell>
          <cell r="C669" t="str">
            <v>КОЖУХ ЗАЩИТНЫЙ ДЛЯ КЛЕММНИКОВ СЕЧЕНИЕМ ПРОВОДА 95ММ2</v>
          </cell>
        </row>
        <row r="670">
          <cell r="B670" t="str">
            <v>SK3243200</v>
          </cell>
          <cell r="C670" t="str">
            <v>ВЫХОДНОЙ ФИЛЬТР (РЕШ. ВЕНТ) 323х323х25 ЦВЕТ- RAL7035</v>
          </cell>
        </row>
        <row r="671">
          <cell r="B671" t="str">
            <v>AB1CP2</v>
          </cell>
          <cell r="C671" t="str">
            <v>КОЖУХ ЗАЩИТНЫЙ ДЛЯ КЛЕММНИКОВ СЕЧЕНИЕМ ПРОВОДА 150...240ММ2</v>
          </cell>
        </row>
        <row r="672">
          <cell r="B672" t="str">
            <v>VW3A58101</v>
          </cell>
          <cell r="C672" t="str">
            <v>Рабочий терминал для ATV-58 всех типоразмеров VW</v>
          </cell>
        </row>
        <row r="673">
          <cell r="B673" t="str">
            <v>VW3A58736</v>
          </cell>
          <cell r="C673" t="str">
            <v>ЗАЩ. ТОРМ. РЕЗИСТОР IP30 D16/D23N4</v>
          </cell>
        </row>
        <row r="674">
          <cell r="B674" t="str">
            <v>XB4BL845</v>
          </cell>
          <cell r="C674" t="str">
            <v>КНОПКА 22ММ КРАСНАЯ/ЗЕЛЕНАЯС ВОЗВРАТОМ И ПОДСВЕТКОЙ 24 VDC</v>
          </cell>
        </row>
        <row r="675">
          <cell r="B675" t="str">
            <v>XB7EA2P</v>
          </cell>
          <cell r="C675" t="str">
            <v>КНОПКА 22ММ КРАСНАЯ С ВОЗВРАТОМ</v>
          </cell>
        </row>
        <row r="676">
          <cell r="B676" t="str">
            <v>XB5AА42</v>
          </cell>
          <cell r="C676" t="str">
            <v>КНОПКА 22ММ КРАСНАЯ С ВОЗВРАТОМ</v>
          </cell>
        </row>
        <row r="677">
          <cell r="B677" t="str">
            <v>ZB5P0A</v>
          </cell>
          <cell r="C677" t="str">
            <v>НАКЛАДКА НА КНОПКИ СИЛИКОН</v>
          </cell>
        </row>
        <row r="678">
          <cell r="B678" t="str">
            <v>ZA2BY4303</v>
          </cell>
          <cell r="C678" t="str">
            <v>МАРКИРОВКА START( узкая)</v>
          </cell>
        </row>
        <row r="679">
          <cell r="B679">
            <v>5123010010</v>
          </cell>
          <cell r="C679" t="str">
            <v>Датчик STD100-250</v>
          </cell>
        </row>
        <row r="680">
          <cell r="B680">
            <v>5123212000</v>
          </cell>
          <cell r="C680" t="str">
            <v>Датчик накладной STC110-400</v>
          </cell>
        </row>
        <row r="681">
          <cell r="B681">
            <v>331101</v>
          </cell>
          <cell r="C681" t="str">
            <v>Датчик PT100</v>
          </cell>
        </row>
        <row r="682">
          <cell r="B682">
            <v>5123210000</v>
          </cell>
          <cell r="C682" t="str">
            <v>Датчик накладной STC110-200</v>
          </cell>
        </row>
        <row r="683">
          <cell r="B683">
            <v>5123102010</v>
          </cell>
          <cell r="C683" t="str">
            <v>Датчик STP100-50</v>
          </cell>
        </row>
        <row r="684">
          <cell r="B684">
            <v>29322</v>
          </cell>
          <cell r="C684" t="str">
            <v>2 КОРОТ.КЛЕМ.ЗАГЛУШКИ 4П NS100/250</v>
          </cell>
        </row>
        <row r="685">
          <cell r="B685">
            <v>33648</v>
          </cell>
          <cell r="C685" t="str">
            <v>3 ШТ РАЗДЕЛИТЕЛИ ПОЛЮСОВ NT</v>
          </cell>
        </row>
        <row r="686">
          <cell r="B686">
            <v>29321</v>
          </cell>
          <cell r="C686" t="str">
            <v>2 КОРОТ.КЛЕМ.ЗАГЛУШКИ 3П NS100/250</v>
          </cell>
        </row>
        <row r="687">
          <cell r="B687" t="str">
            <v>RXN21E12P7</v>
          </cell>
          <cell r="C687" t="str">
            <v>МИНИАТЮРНОЕ РЕЛЕ, 2 ПЕРЕКИДНЫХ КОНТАКТА, СВЕТОДИОД, КАТУШКА 220В Пер ТОКА</v>
          </cell>
        </row>
        <row r="688">
          <cell r="B688" t="str">
            <v>RXN41G12BD</v>
          </cell>
          <cell r="C688" t="str">
            <v>МИНИАТЮРНОЕ РЕЛЕ, 4 ПЕРЕКИДНЫХ КОНТАКТА, СВЕТОДИОД, КАТУШКА 24В ПОСТ ТОКА</v>
          </cell>
        </row>
        <row r="689">
          <cell r="B689" t="str">
            <v>RXN21E12BD</v>
          </cell>
          <cell r="C689" t="str">
            <v>МИНИАТЮРНОЕ РЕЛЕ, 2 ПЕРЕКИДНЫХ КОНТАКТА, СВЕТОДИОД, КАТУШКА 24В ПОСТ ТОКА</v>
          </cell>
        </row>
        <row r="690">
          <cell r="B690" t="str">
            <v>RM4TU02</v>
          </cell>
          <cell r="C690" t="str">
            <v>РЕЛЕ КОНТРОЛЯ 3-ФАЗНОЙ СЕТИ 380/500В</v>
          </cell>
        </row>
        <row r="691">
          <cell r="B691" t="str">
            <v>RM4JA32M</v>
          </cell>
          <cell r="C691" t="str">
            <v>РЕЛЕ ИЗМЕРЕНИЯ ТОКА 0,3-15A ~220-240В</v>
          </cell>
        </row>
        <row r="692">
          <cell r="B692" t="str">
            <v>RM4JA32MW</v>
          </cell>
          <cell r="C692" t="str">
            <v>РЕЛЕ ИЗМЕРЕНИЯ ТОКА 0,3-15A ~/=24-240В</v>
          </cell>
        </row>
        <row r="693">
          <cell r="B693" t="str">
            <v>RM4JA31M</v>
          </cell>
          <cell r="C693" t="str">
            <v>РЕЛЕ ИЗМЕРЕНИЯ 3MA 1A</v>
          </cell>
        </row>
        <row r="694">
          <cell r="B694" t="str">
            <v>RE9MS21MW</v>
          </cell>
          <cell r="C694" t="str">
            <v>РЕЛЕ ВРЕМЕНИ</v>
          </cell>
        </row>
        <row r="695">
          <cell r="B695" t="str">
            <v>RM35LV14MV</v>
          </cell>
          <cell r="C695" t="str">
            <v>РЕЛЕ КОНТРОЛЯ УРОВНЯ</v>
          </cell>
        </row>
        <row r="696">
          <cell r="B696">
            <v>15518</v>
          </cell>
          <cell r="C696" t="str">
            <v>ИМПУЛЬСНОЕ РЕЛЕ TLC 1НО 16A 230В</v>
          </cell>
        </row>
        <row r="697">
          <cell r="B697">
            <v>15512</v>
          </cell>
          <cell r="C697" t="str">
            <v>ИМПУЛЬСНОЕ РЕЛЕ TL 1НО 16A 48В</v>
          </cell>
        </row>
        <row r="698">
          <cell r="B698" t="str">
            <v>PK101DEK</v>
          </cell>
          <cell r="C698" t="str">
            <v>РЕЛЕ КОНТРОЛЯ ФАЗ DEKRAFT</v>
          </cell>
        </row>
        <row r="699">
          <cell r="B699" t="str">
            <v>RXZM031BN</v>
          </cell>
          <cell r="C699" t="str">
            <v>ДИОД+ЗЕЛ. LED 24/60VDC-A1+</v>
          </cell>
        </row>
        <row r="700">
          <cell r="B700" t="str">
            <v>GV2AN11</v>
          </cell>
          <cell r="C700" t="str">
            <v>ДОП. КОНТ. 1НО 1НЗ</v>
          </cell>
        </row>
        <row r="701">
          <cell r="B701" t="str">
            <v>LA1DN10</v>
          </cell>
          <cell r="C701" t="str">
            <v>ДОП КОНТ. 1НО</v>
          </cell>
        </row>
        <row r="702">
          <cell r="B702" t="str">
            <v>174CEV30010</v>
          </cell>
          <cell r="C702" t="str">
            <v>MODBUS ETHERNET BRIDGE (SERIAL - ETHERNET)</v>
          </cell>
        </row>
        <row r="703">
          <cell r="B703" t="str">
            <v>174CEV30020</v>
          </cell>
          <cell r="C703" t="str">
            <v>MODBUS ETHERNET BRIDGE (MODBUS - ETHERNET)</v>
          </cell>
        </row>
        <row r="704">
          <cell r="B704">
            <v>33104</v>
          </cell>
          <cell r="C704" t="str">
            <v>PROGRAMMABLES CONTACTS (M6c)</v>
          </cell>
        </row>
        <row r="705">
          <cell r="B705">
            <v>8913</v>
          </cell>
          <cell r="C705" t="str">
            <v>12 ЗАЩЁЛКИВАЮЩИХСЯ ЭТИКЕТОК, 18Х35 ММ</v>
          </cell>
        </row>
        <row r="706">
          <cell r="B706">
            <v>8915</v>
          </cell>
          <cell r="C706" t="str">
            <v>12 ЗАЩЁЛКИВАЮЩИХСЯ ЭТИКЕТОК, 18Х72 ММ</v>
          </cell>
        </row>
        <row r="707">
          <cell r="B707">
            <v>8917</v>
          </cell>
          <cell r="C707" t="str">
            <v>12 ЗАЩЁЛКИВАЮЩИХСЯ ЭТИКЕТОК, 25 ?
85 ММ</v>
          </cell>
        </row>
        <row r="708">
          <cell r="B708" t="str">
            <v>AB1FUSE435U5X</v>
          </cell>
          <cell r="C708" t="str">
            <v>КЛЕММНИК ВИНТ,4ММ2,С ДЕРЖАТЕЛЕМ- РАЪЕД ПЛАВКОГО ПРЕДОХРАНИТЕЛЯ 5*20 ИЛИ 5*25</v>
          </cell>
        </row>
        <row r="709">
          <cell r="B709">
            <v>15636</v>
          </cell>
          <cell r="C709" t="str">
            <v>РАЗЪЕД-ЛЬ ПРЕДОХР. STI 1П 10,3X38 500В</v>
          </cell>
        </row>
        <row r="710">
          <cell r="B710">
            <v>15645</v>
          </cell>
          <cell r="C710" t="str">
            <v>РАЗЪЕД-ЛЬ ПРЕДОХР STI 1П+Н 8,5X31,5
400В+ предохр к ним</v>
          </cell>
        </row>
        <row r="711">
          <cell r="B711" t="str">
            <v>AB1FU10135UU</v>
          </cell>
          <cell r="C711" t="str">
            <v>КЛЕММНИК ВИНТ,ДЛЯ ПРОВОДА 10ММ2,С ПЛАВКИМ ПРЕДОХРАНИТЕЛЕМ 5*20,СВЕТОДИОДОМ 250 В</v>
          </cell>
        </row>
        <row r="712">
          <cell r="B712" t="str">
            <v>AB1FUSE435U5XB</v>
          </cell>
          <cell r="C712" t="str">
            <v>КЛЕММНИК ВИНТ,ПРОВОД 4ММ2,С ДЕРЖАТЕЛЕМ-РАЪЕД ПЛАВК ПРЕДОХР 5*20/5*25,СВТД 12-24В</v>
          </cell>
        </row>
        <row r="713">
          <cell r="B713">
            <v>15734</v>
          </cell>
          <cell r="C713" t="str">
            <v>ПРЕДОХР 8х31 4А</v>
          </cell>
        </row>
        <row r="714">
          <cell r="B714">
            <v>15735</v>
          </cell>
          <cell r="C714" t="str">
            <v>ПРЕДОХР 8х31 6А</v>
          </cell>
        </row>
        <row r="715">
          <cell r="B715">
            <v>20536</v>
          </cell>
          <cell r="C715" t="str">
            <v>АВТ. ВЫКЛ. C32H-DC 1П 16A C</v>
          </cell>
        </row>
        <row r="716">
          <cell r="B716">
            <v>20542</v>
          </cell>
          <cell r="C716" t="str">
            <v>АВТ. ВЫКЛ. C32H-DC 2П 2A C</v>
          </cell>
        </row>
        <row r="717">
          <cell r="B717" t="str">
            <v>MGN61528</v>
          </cell>
          <cell r="C717" t="str">
            <v>АВТ. ВЫКЛ.C60H-DC 2П 10А C 500В DC</v>
          </cell>
        </row>
        <row r="718">
          <cell r="B718">
            <v>20544</v>
          </cell>
          <cell r="C718" t="str">
            <v>АВТ. ВЫКЛ. C32H-DC 2П 6A C</v>
          </cell>
        </row>
        <row r="719">
          <cell r="B719">
            <v>20534</v>
          </cell>
          <cell r="C719" t="str">
            <v>АВТ. ВЫКЛ. C32H-DC 1П 6A C</v>
          </cell>
        </row>
        <row r="720">
          <cell r="B720">
            <v>20535</v>
          </cell>
          <cell r="C720" t="str">
            <v>АВТ. ВЫКЛ. C32H-DC 1П 10A C</v>
          </cell>
        </row>
        <row r="721">
          <cell r="B721" t="str">
            <v>MGN61522</v>
          </cell>
          <cell r="C721" t="str">
            <v>АВТ. ВЫКЛ. C60Р-DC 2П 2A 500 VDC</v>
          </cell>
        </row>
        <row r="722">
          <cell r="B722">
            <v>20543</v>
          </cell>
          <cell r="C722" t="str">
            <v>АВТ. ВЫКЛ. C32H-DC 2П 3A C</v>
          </cell>
        </row>
        <row r="723">
          <cell r="B723">
            <v>18322</v>
          </cell>
          <cell r="C723" t="str">
            <v>СВЕТОВОЙ ИНДИКАТОР iIL БЕЛЫЙ 230В</v>
          </cell>
        </row>
        <row r="724">
          <cell r="B724">
            <v>18073</v>
          </cell>
          <cell r="C724" t="str">
            <v>ПЕРЕКЛЮЧАТЕЛЬ SSW 3 ПОЛ. 1 ПЕРЕК. КОНТ.</v>
          </cell>
        </row>
        <row r="725">
          <cell r="B725">
            <v>26595</v>
          </cell>
          <cell r="C725" t="str">
            <v>БЛОК ДИФФ ЗАЩ VIGI C60 4П 25A 30МА</v>
          </cell>
        </row>
        <row r="726">
          <cell r="B726" t="str">
            <v>26613BA</v>
          </cell>
          <cell r="C726" t="str">
            <v>БЛОК ДИФФ ЗАЩ VIGI C60 2П 63A 300МА</v>
          </cell>
        </row>
        <row r="727">
          <cell r="B727" t="str">
            <v>26680BA</v>
          </cell>
          <cell r="C727" t="str">
            <v>БЛОК ДИФФ ЗАЩ VIGI C60 2П 25A 100МА A</v>
          </cell>
        </row>
        <row r="728">
          <cell r="B728">
            <v>23382</v>
          </cell>
          <cell r="C728" t="str">
            <v>ДИФФ.ВЫКЛ.НАГР ID 4П 40A 30МА A</v>
          </cell>
        </row>
        <row r="729">
          <cell r="B729">
            <v>27799</v>
          </cell>
          <cell r="C729" t="str">
            <v>ДИФФ. АВТ. NC100/63A-3P-300MA</v>
          </cell>
        </row>
        <row r="730">
          <cell r="B730" t="str">
            <v>A9S60363</v>
          </cell>
          <cell r="C730" t="str">
            <v>ВЫКЛЮЧАТЕЛЬ НАГРУЗКИ iSW 3П 63A</v>
          </cell>
        </row>
        <row r="731">
          <cell r="B731">
            <v>19669</v>
          </cell>
          <cell r="C731" t="str">
            <v>ДИФФ.АВТ.ВЫКЛ. DPN N VIGI 6КА 40A C 30МA</v>
          </cell>
        </row>
        <row r="732">
          <cell r="B732">
            <v>18071</v>
          </cell>
          <cell r="C732" t="str">
            <v>ПЕРЕКЛЮЧАТЕЛЬ SSW 2 ПОЛ. 2 ПЕРЕК. КОНТ.</v>
          </cell>
        </row>
        <row r="733">
          <cell r="B733">
            <v>24395</v>
          </cell>
          <cell r="C733" t="str">
            <v>АВТОМАТИЧЕСКИЙ ВЫКЛ. C60N 1П 1A C</v>
          </cell>
        </row>
        <row r="734">
          <cell r="B734">
            <v>23850</v>
          </cell>
          <cell r="C734" t="str">
            <v>АВТОМАТИЧЕСКИЙ ВЫКЛ. C60а 1П 10A C</v>
          </cell>
        </row>
        <row r="735">
          <cell r="B735">
            <v>24580</v>
          </cell>
          <cell r="C735" t="str">
            <v>АВТОМАТИЧЕСКИЙ ВЫКЛ. C60N 2П 1A D</v>
          </cell>
        </row>
        <row r="736">
          <cell r="B736">
            <v>24331</v>
          </cell>
          <cell r="C736" t="str">
            <v>АВТОМАТИЧЕСКИЙ ВЫКЛ. C60N 2П 1A C</v>
          </cell>
        </row>
        <row r="737">
          <cell r="B737">
            <v>24516</v>
          </cell>
          <cell r="C737" t="str">
            <v>АВТ. ВЫКЛ. C60N 2П 1A D</v>
          </cell>
        </row>
        <row r="738">
          <cell r="B738">
            <v>24045</v>
          </cell>
          <cell r="C738" t="str">
            <v>АВТОМАТИЧЕСКИЙ ВЫКЛ. C60N 1П 1A B</v>
          </cell>
        </row>
        <row r="739">
          <cell r="B739">
            <v>24071</v>
          </cell>
          <cell r="C739" t="str">
            <v>АВТ. ВЫКЛ. C60N 2П 1A B</v>
          </cell>
        </row>
        <row r="740">
          <cell r="B740">
            <v>24581</v>
          </cell>
          <cell r="C740" t="str">
            <v>АВТ. ВЫКЛ. C60N 2П 2A D</v>
          </cell>
        </row>
        <row r="741">
          <cell r="B741">
            <v>24332</v>
          </cell>
          <cell r="C741" t="str">
            <v>АВТОМАТИЧЕСКИЙ ВЫКЛ. C60N 2П 2A C</v>
          </cell>
        </row>
        <row r="742">
          <cell r="B742">
            <v>24072</v>
          </cell>
          <cell r="C742" t="str">
            <v>АВТ. ВЫКЛ. C60N 2П 2A B</v>
          </cell>
        </row>
        <row r="743">
          <cell r="B743">
            <v>24334</v>
          </cell>
          <cell r="C743" t="str">
            <v>АВТОМАТИЧЕСКИЙ ВЫКЛ. C60N 2П 4A C</v>
          </cell>
        </row>
        <row r="744">
          <cell r="B744">
            <v>24073</v>
          </cell>
          <cell r="C744" t="str">
            <v>АВТОМАТИЧЕСКИЙ ВЫКЛ. C60N 2П 3A B</v>
          </cell>
        </row>
        <row r="745">
          <cell r="B745">
            <v>24343</v>
          </cell>
          <cell r="C745" t="str">
            <v>АВТОМАТИЧЕСКИЙ ВЫКЛ. C60N 2П 63A C</v>
          </cell>
        </row>
        <row r="746">
          <cell r="B746">
            <v>24076</v>
          </cell>
          <cell r="C746" t="str">
            <v>АВТОМАТИЧЕСКИЙ ВЫКЛ. C60N 2П 10A B</v>
          </cell>
        </row>
        <row r="747">
          <cell r="B747">
            <v>24333</v>
          </cell>
          <cell r="C747" t="str">
            <v>АВТОМАТИЧЕСКИЙ ВЫКЛ. C60N 2П 3A C</v>
          </cell>
        </row>
        <row r="748">
          <cell r="B748">
            <v>24074</v>
          </cell>
          <cell r="C748" t="str">
            <v>АВТОМАТИЧЕСКИЙ ВЫКЛ. C60N 2П 4A B</v>
          </cell>
        </row>
        <row r="749">
          <cell r="B749">
            <v>24582</v>
          </cell>
          <cell r="C749" t="str">
            <v>АВТОМАТИЧЕСКИЙ ВЫКЛ. C60N 2П 3A D</v>
          </cell>
        </row>
        <row r="750">
          <cell r="B750">
            <v>24075</v>
          </cell>
          <cell r="C750" t="str">
            <v>АВТОМАТИЧЕСКИЙ ВЫКЛ. C60N 2П 6A B</v>
          </cell>
        </row>
        <row r="751">
          <cell r="B751">
            <v>25431</v>
          </cell>
          <cell r="C751" t="str">
            <v>АВТОМАТИЧЕСКИЙ ВЫКЛ. C60L 3П 1A C</v>
          </cell>
        </row>
        <row r="752">
          <cell r="B752">
            <v>24086</v>
          </cell>
          <cell r="C752" t="str">
            <v>АВТОМАТИЧЕСКИЙ ВЫКЛ. C60N 3П 3A B</v>
          </cell>
        </row>
        <row r="753">
          <cell r="B753">
            <v>24088</v>
          </cell>
          <cell r="C753" t="str">
            <v>АВТ. ВЫКЛ. C60L 3П 4A B</v>
          </cell>
        </row>
        <row r="754">
          <cell r="B754">
            <v>24348</v>
          </cell>
          <cell r="C754" t="str">
            <v>АВТОМАТИЧЕСКИЙ ВЫКЛ. C60N 3П 6A C</v>
          </cell>
        </row>
        <row r="755">
          <cell r="B755">
            <v>23904</v>
          </cell>
          <cell r="C755" t="str">
            <v>АВТ ВЫКЛ 4П С25</v>
          </cell>
        </row>
        <row r="756">
          <cell r="B756">
            <v>24344</v>
          </cell>
          <cell r="C756" t="str">
            <v>АВТОМАТИЧЕСКИЙ ВЫКЛ. C60N 3П 1A C</v>
          </cell>
        </row>
        <row r="757">
          <cell r="B757">
            <v>24084</v>
          </cell>
          <cell r="C757" t="str">
            <v>АВТОМАТИЧЕСКИЙ ВЫКЛ. C60N 3П 1A B</v>
          </cell>
        </row>
        <row r="758">
          <cell r="B758">
            <v>24358</v>
          </cell>
          <cell r="C758" t="str">
            <v>АВТОМАТИЧЕСКИЙ ВЫКЛ. C60N 4П 2A C</v>
          </cell>
        </row>
        <row r="759">
          <cell r="B759">
            <v>24346</v>
          </cell>
          <cell r="C759" t="str">
            <v>АВТОМАТИЧЕСКИЙ ВЫКЛ. C60N 3П 3A C</v>
          </cell>
        </row>
        <row r="760">
          <cell r="B760">
            <v>26929</v>
          </cell>
          <cell r="C760" t="str">
            <v>КОНТАКТ СОСТОЯНИЯ OF+OF/SD ДЛЯ С60/C120</v>
          </cell>
        </row>
        <row r="761">
          <cell r="B761">
            <v>27136</v>
          </cell>
          <cell r="C761" t="str">
            <v>РАСЦЕПИТЕЛЬ MX+OF 220-415В ДЛЯ С32H- DC</v>
          </cell>
        </row>
        <row r="762">
          <cell r="B762">
            <v>26946</v>
          </cell>
          <cell r="C762" t="str">
            <v>РАСЦЕПИТЕЛЬ MX+OF 110-415В ДЛЯ С60/C120</v>
          </cell>
        </row>
        <row r="763">
          <cell r="B763">
            <v>26960</v>
          </cell>
          <cell r="C763" t="str">
            <v>РАСЦЕПИТЕЛЬ MN 230В ДЛЯ С60/C120</v>
          </cell>
        </row>
        <row r="764">
          <cell r="B764">
            <v>27135</v>
          </cell>
          <cell r="C764" t="str">
            <v>КОНТАКТ СОСТОЯНИЯ SD ДЛЯ С32H-DC</v>
          </cell>
        </row>
        <row r="765">
          <cell r="B765">
            <v>24581</v>
          </cell>
          <cell r="C765" t="str">
            <v>АВТ. ВЫКЛ. C60N 2П 2A D</v>
          </cell>
        </row>
        <row r="766">
          <cell r="B766">
            <v>27132</v>
          </cell>
          <cell r="C766" t="str">
            <v>КОНТАКТ СОСТОЯНИЯ OF ДЛЯ С32H-DC</v>
          </cell>
        </row>
        <row r="767">
          <cell r="B767">
            <v>26924</v>
          </cell>
          <cell r="C767" t="str">
            <v>КОНТАКТ СОСТОЯНИЯ OF ДЛЯ С60/C120</v>
          </cell>
        </row>
        <row r="768">
          <cell r="B768">
            <v>24072</v>
          </cell>
          <cell r="C768" t="str">
            <v>АВТ. ВЫКЛ. C60N 2П 2A B</v>
          </cell>
        </row>
        <row r="769">
          <cell r="B769">
            <v>26927</v>
          </cell>
          <cell r="C769" t="str">
            <v>КОНТАКТ СОСТОЯНИЯ SD ДЛЯ С60/C120</v>
          </cell>
        </row>
        <row r="770">
          <cell r="B770" t="str">
            <v>ABFM32H151</v>
          </cell>
          <cell r="C770" t="str">
            <v>TELEFAST КАБЕЛЬ ИНФОРМАЦ, 2ХНЕ10 НА 2*16 КАНАЛОВ, ДЛЯ ПЛК QUANTUM, ДЛИНА
1,5M</v>
          </cell>
        </row>
        <row r="771">
          <cell r="B771" t="str">
            <v>LP1D2008MW</v>
          </cell>
          <cell r="C771" t="str">
            <v>КОНТАКТОР 4Р, 25A, 220-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1"/>
  <sheetViews>
    <sheetView tabSelected="1" zoomScalePageLayoutView="0" workbookViewId="0" topLeftCell="A1">
      <selection activeCell="A21" sqref="A21"/>
    </sheetView>
  </sheetViews>
  <sheetFormatPr defaultColWidth="0" defaultRowHeight="12.75"/>
  <cols>
    <col min="1" max="1" width="67.75390625" style="0" customWidth="1"/>
    <col min="2" max="2" width="30.875" style="4" customWidth="1"/>
    <col min="3" max="3" width="11.375" style="0" customWidth="1"/>
    <col min="4" max="4" width="37.25390625" style="0" customWidth="1"/>
    <col min="5" max="16384" width="1.00390625" style="0" hidden="1" customWidth="1"/>
  </cols>
  <sheetData>
    <row r="1" spans="1:4" ht="20.25" customHeight="1">
      <c r="A1" s="1" t="s">
        <v>2</v>
      </c>
      <c r="B1" s="3" t="s">
        <v>3</v>
      </c>
      <c r="C1" s="1" t="s">
        <v>4</v>
      </c>
      <c r="D1" s="1" t="s">
        <v>0</v>
      </c>
    </row>
    <row r="2" spans="1:5" ht="34.5" customHeight="1">
      <c r="A2" s="7" t="str">
        <f>'[1]Лист1'!A5&amp;": "&amp;'[1]Лист1'!B5</f>
        <v>24071: АВТ. ВЫКЛ. C60N 2П 1A B</v>
      </c>
      <c r="B2" s="8">
        <f>937.285*0.8</f>
        <v>749.828</v>
      </c>
      <c r="C2" s="6" t="s">
        <v>1</v>
      </c>
      <c r="D2" s="2"/>
      <c r="E2" s="5"/>
    </row>
    <row r="3" spans="1:3" ht="14.25">
      <c r="A3" s="7" t="str">
        <f>'[1]Лист1'!A6&amp;": "&amp;'[1]Лист1'!B6</f>
        <v>24072: АВТ. ВЫКЛ. C60N 2П 2A B</v>
      </c>
      <c r="B3" s="4">
        <f>677.945*0.8</f>
        <v>542.3560000000001</v>
      </c>
      <c r="C3" s="6" t="s">
        <v>1</v>
      </c>
    </row>
    <row r="4" spans="1:3" ht="14.25">
      <c r="A4" s="7" t="str">
        <f>'[1]Лист1'!A7&amp;": "&amp;'[1]Лист1'!B7</f>
        <v>24581: АВТ. ВЫКЛ. C60N 2П 2A D</v>
      </c>
      <c r="B4" s="4">
        <f>937.285*0.8</f>
        <v>749.828</v>
      </c>
      <c r="C4" s="6" t="s">
        <v>1</v>
      </c>
    </row>
    <row r="5" spans="1:3" ht="14.25">
      <c r="A5" s="7" t="str">
        <f>'[1]Лист1'!A8&amp;": "&amp;'[1]Лист1'!B8</f>
        <v>24074: АВТОМАТИЧЕСКИЙ ВЫКЛ. C60N 2П  4A B</v>
      </c>
      <c r="B5" s="4">
        <f>725*0.8</f>
        <v>580</v>
      </c>
      <c r="C5" s="6" t="s">
        <v>1</v>
      </c>
    </row>
    <row r="6" spans="1:3" ht="14.25">
      <c r="A6" s="7" t="str">
        <f>'[1]Лист1'!A9&amp;": "&amp;'[1]Лист1'!B9</f>
        <v>24075: АВТОМАТИЧЕСКИЙ ВЫКЛ. C60N 2П  6A B</v>
      </c>
      <c r="B6" s="4">
        <f>350*0.8</f>
        <v>280</v>
      </c>
      <c r="C6" s="6" t="s">
        <v>1</v>
      </c>
    </row>
    <row r="7" spans="1:3" ht="14.25">
      <c r="A7" s="7" t="str">
        <f>'[1]Лист1'!A10&amp;": "&amp;'[1]Лист1'!B10</f>
        <v>24582: АВТОМАТИЧЕСКИЙ ВЫКЛ. C60N 2П  3A D</v>
      </c>
      <c r="B7" s="4">
        <f>685.5*0.8</f>
        <v>548.4</v>
      </c>
      <c r="C7" s="6" t="s">
        <v>1</v>
      </c>
    </row>
    <row r="8" spans="1:3" ht="14.25">
      <c r="A8" s="7" t="str">
        <f>'[1]Лист1'!A11&amp;": "&amp;'[1]Лист1'!B11</f>
        <v>24072: АВТ. ВЫКЛ. C60N 2П 2A B</v>
      </c>
      <c r="B8" s="4">
        <f>677.945*0.8</f>
        <v>542.3560000000001</v>
      </c>
      <c r="C8" s="6" t="s">
        <v>1</v>
      </c>
    </row>
    <row r="9" spans="1:3" ht="14.25">
      <c r="A9" s="7" t="str">
        <f>'[1]Лист1'!A12&amp;": "&amp;'[1]Лист1'!B12</f>
        <v>A9K24332: АВТОМАТИЧЕСКИЙ ВЫКЛ. C60N 2П  2A  C</v>
      </c>
      <c r="B9" s="4">
        <f>664*0.8</f>
        <v>531.2</v>
      </c>
      <c r="C9" s="6" t="s">
        <v>1</v>
      </c>
    </row>
    <row r="10" spans="1:3" ht="14.25">
      <c r="A10" s="7" t="str">
        <f>'[1]Лист1'!A13&amp;": "&amp;'[1]Лист1'!B13</f>
        <v>A9F73202: АВТ. ВЫКЛ.iC60N 2П  2A  B</v>
      </c>
      <c r="B10" s="4">
        <f>2660.935*0.8</f>
        <v>2128.748</v>
      </c>
      <c r="C10" s="6" t="s">
        <v>1</v>
      </c>
    </row>
    <row r="11" spans="1:3" ht="14.25">
      <c r="A11" s="7" t="str">
        <f>'[1]Лист1'!A14&amp;": "&amp;'[1]Лист1'!B14</f>
        <v>A9F78206: АВТ. ВЫКЛ.iC60N 2П  6A  B</v>
      </c>
      <c r="B11" s="4">
        <f>755.005*0.8</f>
        <v>604.004</v>
      </c>
      <c r="C11" s="6" t="s">
        <v>1</v>
      </c>
    </row>
    <row r="12" spans="1:3" ht="14.25">
      <c r="A12" s="7" t="str">
        <f>'[1]Лист1'!A15&amp;": "&amp;'[1]Лист1'!B15</f>
        <v>A9F78210: АВТ. ВЫКЛ.iC60N 2П 10A  B</v>
      </c>
      <c r="B12" s="4">
        <f>738.895*0.8</f>
        <v>591.116</v>
      </c>
      <c r="C12" s="6" t="s">
        <v>1</v>
      </c>
    </row>
    <row r="13" spans="1:3" ht="14.25">
      <c r="A13" s="7" t="str">
        <f>'[1]Лист1'!A16&amp;": "&amp;'[1]Лист1'!B16</f>
        <v>11090DEK: Авт. выкл. 4Р 16А х-ка C ВА-101 4,5кА DEKraft</v>
      </c>
      <c r="B13" s="4">
        <f>210.82*0.8</f>
        <v>168.656</v>
      </c>
      <c r="C13" s="6" t="s">
        <v>1</v>
      </c>
    </row>
    <row r="14" spans="1:3" ht="14.25">
      <c r="A14" s="7" t="str">
        <f>'[1]Лист1'!A17&amp;": "&amp;'[1]Лист1'!B17</f>
        <v>11092DEK: Авт. выкл. 4Р 25А х-ка C ВА-101 4,5кА DEKraft</v>
      </c>
      <c r="B14" s="4">
        <f>210.82*0.8</f>
        <v>168.656</v>
      </c>
      <c r="C14" s="6" t="s">
        <v>1</v>
      </c>
    </row>
    <row r="15" spans="1:3" ht="14.25">
      <c r="A15" s="7" t="str">
        <f>'[1]Лист1'!A18&amp;": "&amp;'[1]Лист1'!B18</f>
        <v>12077DEK: Авт. выкл. 2Р 32А х-ка C ВА-103 6кА DEKraft</v>
      </c>
      <c r="B15" s="4">
        <f>147.865*0.8</f>
        <v>118.29200000000002</v>
      </c>
      <c r="C15" s="6" t="s">
        <v>1</v>
      </c>
    </row>
    <row r="16" spans="1:3" ht="14.25">
      <c r="A16" s="7" t="str">
        <f>'[1]Лист1'!A19&amp;": "&amp;'[1]Лист1'!B19</f>
        <v>13008DEK: Авт. выкл. 3Р 80А х-ка С ВА-201 10кА DEKraft</v>
      </c>
      <c r="B16" s="4">
        <f>535.33*0.8</f>
        <v>428.26400000000007</v>
      </c>
      <c r="C16" s="6" t="s">
        <v>1</v>
      </c>
    </row>
    <row r="17" spans="1:3" ht="14.25">
      <c r="A17" s="7" t="str">
        <f>'[1]Лист1'!A20&amp;": "&amp;'[1]Лист1'!B20</f>
        <v>13180DEK: Авт. выкл. 3P C кривая 32A 10кА ВА-105</v>
      </c>
      <c r="B17" s="4">
        <f>569.6*0.8</f>
        <v>455.68000000000006</v>
      </c>
      <c r="C17" s="6" t="s">
        <v>1</v>
      </c>
    </row>
    <row r="18" spans="1:3" ht="14.25">
      <c r="A18" s="7" t="str">
        <f>'[1]Лист1'!A21&amp;": "&amp;'[1]Лист1'!B21</f>
        <v>14077DEK: УЗО 4P 16А 30мА AC УЗО-03 6кА DEKraft</v>
      </c>
      <c r="B18" s="4">
        <f>481.34*0.8</f>
        <v>385.072</v>
      </c>
      <c r="C18" s="6" t="s">
        <v>1</v>
      </c>
    </row>
    <row r="19" spans="1:3" ht="14.25">
      <c r="A19" s="7" t="str">
        <f>'[1]Лист1'!A22&amp;": "&amp;'[1]Лист1'!B22</f>
        <v>14078DEK: УЗО 4P 25А 30мА AC УЗО-03 6кА DEKraft</v>
      </c>
      <c r="B19" s="4">
        <f>481.34*0.8</f>
        <v>385.072</v>
      </c>
      <c r="C19" s="6" t="s">
        <v>1</v>
      </c>
    </row>
    <row r="20" spans="1:3" ht="14.25">
      <c r="A20" s="7" t="str">
        <f>'[1]Лист1'!A23&amp;": "&amp;'[1]Лист1'!B23</f>
        <v>14052DEK: УЗО 2P 10А 30мА AC УЗО-03 6кА DEKraft </v>
      </c>
      <c r="B20" s="4">
        <f>389.21*0.8</f>
        <v>311.368</v>
      </c>
      <c r="C20" s="6" t="s">
        <v>1</v>
      </c>
    </row>
    <row r="21" spans="1:3" ht="14.25">
      <c r="A21" s="7" t="str">
        <f>'[1]Лист1'!A24&amp;": "&amp;'[1]Лист1'!B24</f>
        <v>14086DEK: УЗО 4P 32А 100мА AC УЗО-03 6кА DEKraft</v>
      </c>
      <c r="B21" s="4">
        <f>704.185*0.8</f>
        <v>563.348</v>
      </c>
      <c r="C21" s="6" t="s">
        <v>1</v>
      </c>
    </row>
    <row r="22" spans="1:3" ht="14.25">
      <c r="A22" s="7" t="str">
        <f>'[1]Лист1'!A25&amp;": "&amp;'[1]Лист1'!B25</f>
        <v>14053DEK: УЗО 2P 16А 30мА AC УЗО-03 6кА DEKraft</v>
      </c>
      <c r="B22" s="4">
        <f>351.665*0.8</f>
        <v>281.33200000000005</v>
      </c>
      <c r="C22" s="6" t="s">
        <v>1</v>
      </c>
    </row>
    <row r="23" spans="1:3" ht="14.25">
      <c r="A23" s="7" t="str">
        <f>'[1]Лист1'!A26&amp;": "&amp;'[1]Лист1'!B26</f>
        <v>15020DEK: Диф. автомат 4Р 16А 30мА тип AC х-ка С ДИФ-101 4,5кА DE</v>
      </c>
      <c r="B23" s="4">
        <f>454.59*0.8</f>
        <v>363.672</v>
      </c>
      <c r="C23" s="6" t="s">
        <v>1</v>
      </c>
    </row>
    <row r="24" spans="1:3" ht="14.25">
      <c r="A24" s="7" t="str">
        <f>'[1]Лист1'!A27&amp;": "&amp;'[1]Лист1'!B27</f>
        <v>15024DEK: Диф. автомат 4Р 40А 30мА тип AC х-ка С ДИФ-101 4,5кА DE</v>
      </c>
      <c r="B24" s="4">
        <f>397.215*0.8</f>
        <v>317.772</v>
      </c>
      <c r="C24" s="6" t="s">
        <v>1</v>
      </c>
    </row>
    <row r="25" spans="1:3" ht="14.25">
      <c r="A25" s="7" t="str">
        <f>'[1]Лист1'!A28&amp;": "&amp;'[1]Лист1'!B28</f>
        <v>15045DEK: Диф. автомат 4Р 25А 300мА тип AC х-ка С ДИФ-101 4,5кА D</v>
      </c>
      <c r="B25" s="4">
        <f>594.77*0.8</f>
        <v>475.81600000000003</v>
      </c>
      <c r="C25" s="6" t="s">
        <v>1</v>
      </c>
    </row>
    <row r="26" spans="1:3" ht="14.25">
      <c r="A26" s="7" t="str">
        <f>'[1]Лист1'!A30&amp;": "&amp;'[1]Лист1'!B30</f>
        <v>2744429: PSM-ME-RS485/RS485P</v>
      </c>
      <c r="B26" s="4">
        <f>11581.94*0.8</f>
        <v>9265.552000000001</v>
      </c>
      <c r="C26" s="6" t="s">
        <v>1</v>
      </c>
    </row>
    <row r="27" spans="1:3" ht="14.25">
      <c r="A27" s="7" t="str">
        <f>'[1]Лист1'!A32&amp;": "&amp;'[1]Лист1'!B32</f>
        <v>0916606: UT6-TMC M 4A ( Авт. Выкл 4 А) PHOENIX</v>
      </c>
      <c r="B27" s="4">
        <f>775*0.8</f>
        <v>620</v>
      </c>
      <c r="C27" s="6" t="s">
        <v>1</v>
      </c>
    </row>
    <row r="28" spans="1:3" ht="14.25">
      <c r="A28" s="7" t="str">
        <f>'[1]Лист1'!A33&amp;": "&amp;'[1]Лист1'!B33</f>
        <v>0916611: UT6-TMC M 12A (Авт Выкл 12А) PHOENIX</v>
      </c>
      <c r="B28" s="4">
        <f>128.535*0.8</f>
        <v>102.828</v>
      </c>
      <c r="C28" s="6" t="s">
        <v>1</v>
      </c>
    </row>
    <row r="29" spans="1:3" ht="14.25">
      <c r="A29" s="7" t="str">
        <f>'[1]Лист1'!A35&amp;": "&amp;'[1]Лист1'!B35</f>
        <v>03436: Автоматический выключатель 2П С32А</v>
      </c>
      <c r="B29" s="4">
        <f>160*0.8</f>
        <v>128</v>
      </c>
      <c r="C29" s="6" t="s">
        <v>1</v>
      </c>
    </row>
    <row r="30" spans="1:3" ht="12.75">
      <c r="A30" t="str">
        <f>'[2]Table 1'!B7&amp;": "&amp;'[2]Table 1'!C7</f>
        <v>NSYS3D10830P: ШКАФ S3D С ПЛАТОЙ 10Х8Х3</v>
      </c>
      <c r="B30" s="4">
        <f>10970.145*0.8</f>
        <v>8776.116</v>
      </c>
      <c r="C30" s="11" t="s">
        <v>1</v>
      </c>
    </row>
    <row r="31" spans="1:3" ht="12.75">
      <c r="A31" t="str">
        <f>'[2]Table 1'!B8&amp;": "&amp;'[2]Table 1'!C8</f>
        <v>NSYAEFPFSB: ПРОУШИНЫ ВНЕШНЕГО КРЕПЛЕНИЯ 4ШТ</v>
      </c>
      <c r="B31" s="4">
        <f>607.325*0.8</f>
        <v>485.86000000000007</v>
      </c>
      <c r="C31" s="11" t="s">
        <v>1</v>
      </c>
    </row>
    <row r="32" spans="1:3" ht="12.75">
      <c r="A32" t="str">
        <f>'[2]Table 1'!B9&amp;": "&amp;'[2]Table 1'!C9</f>
        <v>NSYAEFPFSC: 4 ПРОУШИНЫ ДЛЯ КРЕП.К СТЕНЕ (СТАЛЬ)
3D</v>
      </c>
      <c r="B32" s="4">
        <f>345.85*0.8</f>
        <v>276.68</v>
      </c>
      <c r="C32" s="11" t="s">
        <v>1</v>
      </c>
    </row>
    <row r="33" spans="1:3" ht="12.75">
      <c r="A33" t="str">
        <f>'[2]Table 1'!B10&amp;": "&amp;'[2]Table 1'!C10</f>
        <v>NSYBCE8: 2 ЩЕТ. УПЛ. ПЛАТЫ КАБ. ВВОДА 800</v>
      </c>
      <c r="B33" s="4">
        <f>1289.25*0.8</f>
        <v>1031.4</v>
      </c>
      <c r="C33" s="11" t="s">
        <v>1</v>
      </c>
    </row>
    <row r="34" spans="1:3" ht="12.75">
      <c r="A34" t="str">
        <f>'[2]Table 1'!B11&amp;": "&amp;'[2]Table 1'!C11</f>
        <v>NSYCFP60: НИЖНЯЯ ПОПЕР. РЕЙКА ДЛЯ КР. КАБЕЛЯ 600</v>
      </c>
      <c r="B34" s="4">
        <f>2243.815*0.8</f>
        <v>1795.0520000000001</v>
      </c>
      <c r="C34" s="11" t="s">
        <v>1</v>
      </c>
    </row>
    <row r="35" spans="1:3" ht="12.75">
      <c r="A35" t="str">
        <f>'[2]Table 1'!B12&amp;": "&amp;'[2]Table 1'!C12</f>
        <v>NSYEC1062: 3-Х МОД. ПЛАТА КАБ. ВВОДА SF 1000x600</v>
      </c>
      <c r="B35" s="4">
        <f>3678.795*0.8</f>
        <v>2943.036</v>
      </c>
      <c r="C35" s="11" t="s">
        <v>1</v>
      </c>
    </row>
    <row r="36" spans="1:3" ht="12.75">
      <c r="A36" t="str">
        <f>'[2]Table 1'!B13&amp;": "&amp;'[2]Table 1'!C13</f>
        <v>NSYEC1082: 3-Х МОД. ПЛАТА КАБ. ВВОДА SF 1000x800</v>
      </c>
      <c r="B36" s="4">
        <f>4704.475*0.8</f>
        <v>3763.5800000000004</v>
      </c>
      <c r="C36" s="11" t="s">
        <v>1</v>
      </c>
    </row>
    <row r="37" spans="1:3" ht="12.75">
      <c r="A37" t="str">
        <f>'[2]Table 1'!B14&amp;": "&amp;'[2]Table 1'!C14</f>
        <v>NSYEC1241: 2-Х МОД. ПЛАТА КАБ. ВВОДА SF 1200x400</v>
      </c>
      <c r="B37" s="4">
        <f>3595.82*0.8</f>
        <v>2876.6560000000004</v>
      </c>
      <c r="C37" s="11" t="s">
        <v>1</v>
      </c>
    </row>
    <row r="38" spans="1:3" ht="12.75">
      <c r="A38" t="str">
        <f>'[2]Table 1'!B15&amp;": "&amp;'[2]Table 1'!C15</f>
        <v>NSYEC1262: 3-Х МОД. ПЛАТА КАБ. ВВОДА SF 1200x600</v>
      </c>
      <c r="B38" s="4">
        <f>4761.645*0.8</f>
        <v>3809.3160000000007</v>
      </c>
      <c r="C38" s="11" t="s">
        <v>1</v>
      </c>
    </row>
    <row r="39" spans="1:3" ht="12.75">
      <c r="A39" t="str">
        <f>'[2]Table 1'!B16&amp;": "&amp;'[2]Table 1'!C16</f>
        <v>NSYEC641: 2-Х МОД. ПЛАТА КАБ. ВВОДА SF 600x400</v>
      </c>
      <c r="B39" s="4">
        <f>1785.705*0.8</f>
        <v>1428.564</v>
      </c>
      <c r="C39" s="11" t="s">
        <v>1</v>
      </c>
    </row>
    <row r="40" spans="1:3" ht="12.75">
      <c r="A40" t="str">
        <f>'[2]Table 1'!B17&amp;": "&amp;'[2]Table 1'!C17</f>
        <v>NSYEC641: 2-Х МОД. ПЛАТА КАБ. ВВОДА SF 600x400</v>
      </c>
      <c r="B40" s="4">
        <f>1785.705*0.8</f>
        <v>1428.564</v>
      </c>
      <c r="C40" s="11" t="s">
        <v>1</v>
      </c>
    </row>
    <row r="41" spans="1:3" ht="12.75">
      <c r="A41" t="str">
        <f>'[2]Table 1'!B18&amp;": "&amp;'[2]Table 1'!C18</f>
        <v>NSYEC66: ЦЕЛЬНАЯ ПЛАТА КАБ. ВВОДА SF 600x600</v>
      </c>
      <c r="B41" s="4">
        <f>1607.21*0.8</f>
        <v>1285.768</v>
      </c>
      <c r="C41" s="11" t="s">
        <v>1</v>
      </c>
    </row>
    <row r="42" spans="1:3" ht="12.75">
      <c r="A42" t="str">
        <f>'[2]Table 1'!B19&amp;": "&amp;'[2]Table 1'!C19</f>
        <v>NSYEDCOS: КРОНШТЕЙНЫ ДЛЯ КОЛЛЕКТОРА ЗАЗЕМЛЕНИЯ</v>
      </c>
      <c r="B42" s="4">
        <f>2476.005*0.8</f>
        <v>1980.804</v>
      </c>
      <c r="C42" s="11" t="s">
        <v>1</v>
      </c>
    </row>
    <row r="43" spans="1:3" ht="12.75">
      <c r="A43" t="str">
        <f>'[2]Table 1'!B20&amp;": "&amp;'[2]Table 1'!C20</f>
        <v>NSYETF: КОМБИНИРОВАННЫЙ ОПОРНЫЙ КРОНШТЕЙН</v>
      </c>
      <c r="B43" s="4">
        <f>464.38*0.8</f>
        <v>371.504</v>
      </c>
      <c r="C43" s="11" t="s">
        <v>1</v>
      </c>
    </row>
    <row r="44" spans="1:3" ht="12.75">
      <c r="A44" t="str">
        <f>'[2]Table 1'!B21&amp;": "&amp;'[2]Table 1'!C21</f>
        <v>NSYMPS40: 2 УСИЛ. ДЕРЖАТЕЛЯ ДЛЯ МОНТ. ПЛАТ 400</v>
      </c>
      <c r="B44" s="4">
        <f>1438.47*0.8</f>
        <v>1150.776</v>
      </c>
      <c r="C44" s="11" t="s">
        <v>1</v>
      </c>
    </row>
    <row r="45" spans="1:3" ht="12.75">
      <c r="A45" t="str">
        <f>'[2]Table 1'!B22&amp;": "&amp;'[2]Table 1'!C22</f>
        <v>NSYMR1012: ПЛАТА ПЕРФОРИРОВАННАЯ 1000Х1200</v>
      </c>
      <c r="B45" s="4">
        <f>7174.205*0.8</f>
        <v>5739.3640000000005</v>
      </c>
      <c r="C45" s="11" t="s">
        <v>1</v>
      </c>
    </row>
    <row r="46" spans="1:3" ht="12.75">
      <c r="A46" t="str">
        <f>'[2]Table 1'!B23&amp;": "&amp;'[2]Table 1'!C23</f>
        <v>NSYSBM15158: КЛЕММНАЯ КОРОБКА SBM150x150x80</v>
      </c>
      <c r="B46" s="4">
        <f>1224.41*0.8</f>
        <v>979.5280000000001</v>
      </c>
      <c r="C46" s="11" t="s">
        <v>1</v>
      </c>
    </row>
    <row r="47" spans="1:3" ht="12.75">
      <c r="A47" t="str">
        <f>'[2]Table 1'!B24&amp;": "&amp;'[2]Table 1'!C24</f>
        <v>NSYSFBK: СТАНД. СОЕД. КОМПЛЕКТ ДЛЯ ШКАФОВ SF</v>
      </c>
      <c r="B47" s="4">
        <f>2178.265*0.8</f>
        <v>1742.612</v>
      </c>
      <c r="C47" s="11" t="s">
        <v>1</v>
      </c>
    </row>
    <row r="48" spans="1:3" ht="12.75">
      <c r="A48" t="str">
        <f>'[2]Table 1'!B25&amp;": "&amp;'[2]Table 1'!C25</f>
        <v>NSYSFBKF: КОМПЛЕКТ ДЛЯ БЫСТРОГО СОЕД ШКАФОВ SF</v>
      </c>
      <c r="B48" s="4">
        <f>691*0.8</f>
        <v>552.8000000000001</v>
      </c>
      <c r="C48" s="11" t="s">
        <v>1</v>
      </c>
    </row>
    <row r="49" spans="1:3" ht="12.75">
      <c r="A49" t="str">
        <f>'[2]Table 1'!B26&amp;": "&amp;'[2]Table 1'!C26</f>
        <v>NSYSFC88: НИЖНЯЯ И ВЕРХНЯЯ РАМЫ SF 800x800</v>
      </c>
      <c r="B49" s="4">
        <f>10229.725*0.8</f>
        <v>8183.780000000001</v>
      </c>
      <c r="C49" s="11" t="s">
        <v>1</v>
      </c>
    </row>
    <row r="50" spans="1:3" ht="12.75">
      <c r="A50" t="str">
        <f>'[2]Table 1'!B27&amp;": "&amp;'[2]Table 1'!C27</f>
        <v>NSYSFPB: 4 КРОНШТЕЙНА ДЛЯ МОНТАЖНОЙ ПЛАТЫ</v>
      </c>
      <c r="B50" s="4">
        <f>1137.255*0.8</f>
        <v>909.8040000000001</v>
      </c>
      <c r="C50" s="11" t="s">
        <v>1</v>
      </c>
    </row>
    <row r="51" spans="1:3" ht="12.75">
      <c r="A51" t="str">
        <f>'[2]Table 1'!B28&amp;": "&amp;'[2]Table 1'!C28</f>
        <v>NSYSPF6100: ПЕР. И ЗАДН. ПАНЕЛИ ЦОКОЛЯ 600x100</v>
      </c>
      <c r="B51" s="4">
        <f>3042.19*0.8</f>
        <v>2433.752</v>
      </c>
      <c r="C51" s="11" t="s">
        <v>1</v>
      </c>
    </row>
    <row r="52" spans="1:3" ht="12.75">
      <c r="A52" t="str">
        <f>'[2]Table 1'!B29&amp;": "&amp;'[2]Table 1'!C29</f>
        <v>NSYSPF8100: ПЕР. И ЗАДН. ПАНЕЛИ ЦОКОЛЯ 800x100</v>
      </c>
      <c r="B52" s="4">
        <f>3379.66*0.8</f>
        <v>2703.728</v>
      </c>
      <c r="C52" s="11" t="s">
        <v>1</v>
      </c>
    </row>
    <row r="53" spans="1:3" ht="12.75">
      <c r="A53" t="str">
        <f>'[2]Table 1'!B30&amp;": "&amp;'[2]Table 1'!C30</f>
        <v>NSYSPS10100: 2 БОКОВЫЕ ПАНЕЛИ ЦОКОЛЯ 1000x100</v>
      </c>
      <c r="B53" s="4">
        <f>1126.785*0.8</f>
        <v>901.4280000000001</v>
      </c>
      <c r="C53" s="11" t="s">
        <v>1</v>
      </c>
    </row>
    <row r="54" spans="1:3" ht="12.75">
      <c r="A54" t="str">
        <f>'[2]Table 1'!B31&amp;": "&amp;'[2]Table 1'!C31</f>
        <v>NSYSPS4100: 2 БОКОВЫЕ ПАНЕЛИ ЦОКОЛЯ 400x100</v>
      </c>
      <c r="B54" s="4">
        <f>534.11*0.8</f>
        <v>427.288</v>
      </c>
      <c r="C54" s="11" t="s">
        <v>1</v>
      </c>
    </row>
    <row r="55" spans="1:3" ht="12.75">
      <c r="A55" t="str">
        <f>'[2]Table 1'!B32&amp;": "&amp;'[2]Table 1'!C32</f>
        <v>NSYSPS6100: 2 БОКОВЫЕ ПАНЕЛИ ЦОКОЛЯ 600x100</v>
      </c>
      <c r="B55" s="4">
        <f>656.825*0.8</f>
        <v>525.46</v>
      </c>
      <c r="C55" s="11" t="s">
        <v>1</v>
      </c>
    </row>
    <row r="56" spans="1:3" ht="12.75">
      <c r="A56" t="str">
        <f>'[2]Table 1'!B33&amp;": "&amp;'[2]Table 1'!C33</f>
        <v>NSYSPS8100: 2 БОКОВЫЕ ПАНЕЛИ ЦОКОЛЯ 800x100</v>
      </c>
      <c r="B56" s="4">
        <f>895.29*0.8</f>
        <v>716.232</v>
      </c>
      <c r="C56" s="11" t="s">
        <v>1</v>
      </c>
    </row>
    <row r="57" spans="1:3" ht="12.75">
      <c r="A57" t="str">
        <f>'[2]Table 1'!B34&amp;": "&amp;'[2]Table 1'!C34</f>
        <v>NSYSPS8200: 4 БОКОВЫЕ ПАНЕЛИ ЦОКОЛЯ 800x200</v>
      </c>
      <c r="B57" s="4">
        <f>1541.66*0.8</f>
        <v>1233.3280000000002</v>
      </c>
      <c r="C57" s="11" t="s">
        <v>1</v>
      </c>
    </row>
    <row r="58" spans="1:3" ht="12.75">
      <c r="A58" t="str">
        <f>'[2]Table 1'!B35&amp;": "&amp;'[2]Table 1'!C35</f>
        <v>NSYSTMP4560: ПЕРФ. МОНТАЖНАЯ ПЛАТА 450х600</v>
      </c>
      <c r="B58" s="4">
        <f>2540.85*0.8</f>
        <v>2032.68</v>
      </c>
      <c r="C58" s="11" t="s">
        <v>1</v>
      </c>
    </row>
    <row r="59" spans="1:3" ht="12.75">
      <c r="A59" t="str">
        <f>'[2]Table 1'!B36&amp;": "&amp;'[2]Table 1'!C36</f>
        <v>NSYSTMP60100: ПЕРФ. МОНТАЖНАЯ ПЛАТА 600х1000</v>
      </c>
      <c r="B59" s="4">
        <f>4918.54*0.8</f>
        <v>3934.8320000000003</v>
      </c>
      <c r="C59" s="11" t="s">
        <v>1</v>
      </c>
    </row>
    <row r="60" spans="1:3" ht="12.75">
      <c r="A60" t="str">
        <f>'[2]Table 1'!B37&amp;": "&amp;'[2]Table 1'!C37</f>
        <v>NSYSTMP60120: ПЕРФ. МОНТАЖНАЯ ПЛАТА 600х1200</v>
      </c>
      <c r="B60" s="4">
        <f>5393.38*0.8</f>
        <v>4314.704000000001</v>
      </c>
      <c r="C60" s="11" t="s">
        <v>1</v>
      </c>
    </row>
    <row r="61" spans="1:3" ht="12.75">
      <c r="A61" t="str">
        <f>'[2]Table 1'!B38&amp;": "&amp;'[2]Table 1'!C38</f>
        <v>NSYSTMP6060: ПЕРФ. МОНТАЖНАЯ ПЛАТА 600х600</v>
      </c>
      <c r="B61" s="4">
        <f>2765.375*0.8</f>
        <v>2212.3</v>
      </c>
      <c r="C61" s="11" t="s">
        <v>1</v>
      </c>
    </row>
    <row r="62" spans="1:3" ht="12.75">
      <c r="A62" t="str">
        <f>'[2]Table 1'!B39&amp;": "&amp;'[2]Table 1'!C39</f>
        <v>NSYSTMP8260: ПЕРФ. МОНТАЖНАЯ ПЛАТА 825х600</v>
      </c>
      <c r="B62" s="4">
        <f>3819.64*0.8</f>
        <v>3055.712</v>
      </c>
      <c r="C62" s="11" t="s">
        <v>1</v>
      </c>
    </row>
    <row r="63" spans="1:3" ht="12.75">
      <c r="A63" t="str">
        <f>'[2]Table 1'!B40&amp;": "&amp;'[2]Table 1'!C40</f>
        <v>NSYSUCR40100: 2 ОДНОРЯДНЫЕ УНИВ. ПОПЕР. РЕЙКИ 1000</v>
      </c>
      <c r="B63" s="4">
        <f>2651.72*0.8</f>
        <v>2121.3759999999997</v>
      </c>
      <c r="C63" s="11" t="s">
        <v>1</v>
      </c>
    </row>
    <row r="64" spans="1:3" ht="12.75">
      <c r="A64" t="str">
        <f>'[2]Table 1'!B41&amp;": "&amp;'[2]Table 1'!C41</f>
        <v>NSYSUCR4040: 2 ОДНОРЯДНЫЕ УНИВ. ПОПЕР. РЕЙКИ 400</v>
      </c>
      <c r="B64" s="4">
        <f>1704.125*0.8</f>
        <v>1363.3000000000002</v>
      </c>
      <c r="C64" s="11" t="s">
        <v>1</v>
      </c>
    </row>
    <row r="65" spans="1:3" ht="12.75">
      <c r="A65" t="str">
        <f>'[2]Table 1'!B42&amp;": "&amp;'[2]Table 1'!C42</f>
        <v>NSYSUCR4060: 2 ОДНОРЯДНЫЕ УНИВ. ПОПЕР. РЕЙКИ 600</v>
      </c>
      <c r="B65" s="4">
        <f>1746.66*0.8</f>
        <v>1397.3280000000002</v>
      </c>
      <c r="C65" s="11" t="s">
        <v>1</v>
      </c>
    </row>
    <row r="66" spans="1:3" ht="12.75">
      <c r="A66" t="str">
        <f>'[2]Table 1'!B43&amp;": "&amp;'[2]Table 1'!C43</f>
        <v>NSYSUCR6540: 2 ДВУХРЯДНЫЕ УНИВ. ПОПЕР. РЕЙКИ 400</v>
      </c>
      <c r="B66" s="4">
        <f>1799.655*0.8</f>
        <v>1439.7240000000002</v>
      </c>
      <c r="C66" s="11" t="s">
        <v>1</v>
      </c>
    </row>
    <row r="67" spans="1:3" ht="12.75">
      <c r="A67" t="str">
        <f>'[2]Table 1'!B44&amp;": "&amp;'[2]Table 1'!C44</f>
        <v>NSYSUCR6560: 2 ДВУХРЯДНЫЕ УНИВ. ПОПЕР. РЕЙКИ 600</v>
      </c>
      <c r="B67" s="4">
        <f>2061.13*0.8</f>
        <v>1648.9040000000002</v>
      </c>
      <c r="C67" s="11" t="s">
        <v>1</v>
      </c>
    </row>
    <row r="68" spans="1:3" ht="12.75">
      <c r="A68" t="str">
        <f>'[2]Table 1'!B45&amp;": "&amp;'[2]Table 1'!C45</f>
        <v>NSYSUCR6580: 2 ДВУХРЯДНЫЕ УНИВ. ПОПЕР. РЕЙКИ 800</v>
      </c>
      <c r="B68" s="4">
        <f>2291.23*0.8</f>
        <v>1832.9840000000002</v>
      </c>
      <c r="C68" s="11" t="s">
        <v>1</v>
      </c>
    </row>
    <row r="69" spans="1:3" ht="12.75">
      <c r="A69" t="str">
        <f>'[2]Table 1'!B46&amp;": "&amp;'[2]Table 1'!C46</f>
        <v>SURTRK2: Комплект для монтажа в 19-дюймовую стойку</v>
      </c>
      <c r="B69" s="4">
        <f>8970*0.8</f>
        <v>7176</v>
      </c>
      <c r="C69" s="11" t="s">
        <v>1</v>
      </c>
    </row>
    <row r="70" spans="1:3" ht="12.75">
      <c r="A70" t="str">
        <f>'[2]Table 1'!B47&amp;": "&amp;'[2]Table 1'!C47</f>
        <v>NSYMR128: ПЛАТА ПЕРФОРИРОВАННАЯ 1200Х800</v>
      </c>
      <c r="B70" s="4">
        <f>6509.005*0.8</f>
        <v>5207.204000000001</v>
      </c>
      <c r="C70" s="11" t="s">
        <v>1</v>
      </c>
    </row>
    <row r="71" spans="1:3" ht="12.75">
      <c r="A71" t="str">
        <f>'[2]Table 1'!B48&amp;": "&amp;'[2]Table 1'!C48</f>
        <v>NSYFCG160: L-ОБРАЗНАЯ РЕЙКА ДЛЯ КР. КАБЕЛЯ 1600</v>
      </c>
      <c r="B71" s="4">
        <f>3827.525*0.8</f>
        <v>3062.0200000000004</v>
      </c>
      <c r="C71" s="11" t="s">
        <v>1</v>
      </c>
    </row>
    <row r="72" spans="1:3" ht="12.75">
      <c r="A72" t="str">
        <f>'[2]Table 1'!B49&amp;": "&amp;'[2]Table 1'!C49</f>
        <v>NSYFCG80: L-ОБРАЗНАЯ РЕЙКА ДЛЯ КР. КАБЕЛЯ 800</v>
      </c>
      <c r="B72" s="4">
        <f>1978.15*0.8</f>
        <v>1582.5200000000002</v>
      </c>
      <c r="C72" s="11" t="s">
        <v>1</v>
      </c>
    </row>
    <row r="73" spans="1:3" ht="12.75">
      <c r="A73" t="str">
        <f>'[2]Table 1'!B50&amp;": "&amp;'[2]Table 1'!C50</f>
        <v>NSYCSH206: ОДИНОЧНАЯ МОНТАЖНАЯ РАМА 2000x600</v>
      </c>
      <c r="B73" s="4">
        <f>7861.715*0.8</f>
        <v>6289.372</v>
      </c>
      <c r="C73" s="11" t="s">
        <v>1</v>
      </c>
    </row>
    <row r="74" spans="1:3" ht="12.75">
      <c r="A74" t="str">
        <f>'[2]Table 1'!B51&amp;": "&amp;'[2]Table 1'!C51</f>
        <v>NSYSMVR20: 2 ВЕРТИКАЛЬНЫЕ РЕГ. РЕЙКИ 2000</v>
      </c>
      <c r="B74" s="4">
        <f>3728.3*0.8</f>
        <v>2982.6400000000003</v>
      </c>
      <c r="C74" s="11" t="s">
        <v>1</v>
      </c>
    </row>
    <row r="75" spans="1:3" ht="12.75">
      <c r="A75" t="str">
        <f>'[2]Table 1'!B52&amp;": "&amp;'[2]Table 1'!C52</f>
        <v>NSYAMRD80357SB: СИММ DIN РЕЙКА 35Х7.5 Д/SBM Ш=800,УП10ШТ</v>
      </c>
      <c r="B75" s="4">
        <f>81.705*0.8</f>
        <v>65.364</v>
      </c>
      <c r="C75" s="11" t="s">
        <v>1</v>
      </c>
    </row>
    <row r="76" spans="1:3" ht="12.75">
      <c r="A76" t="str">
        <f>'[2]Table 1'!B53&amp;": "&amp;'[2]Table 1'!C53</f>
        <v>AR1MA01: МАРКИРОВКА 200 ШТ КАЖДОЙ ЦИФРЫ + АКСЕС</v>
      </c>
      <c r="B76" s="4">
        <f>1855.905*0.8</f>
        <v>1484.7240000000002</v>
      </c>
      <c r="C76" s="11" t="s">
        <v>1</v>
      </c>
    </row>
    <row r="77" spans="1:3" ht="12.75">
      <c r="A77" t="str">
        <f>'[2]Table 1'!B54&amp;": "&amp;'[2]Table 1'!C54</f>
        <v>AB1R0: ЛЕНТА 10 ШТ МАРКИРОВКИ НАБОРН ЦИФРА 0</v>
      </c>
      <c r="B77" s="4">
        <f>13.19*0.8</f>
        <v>10.552</v>
      </c>
      <c r="C77" s="11" t="s">
        <v>1</v>
      </c>
    </row>
    <row r="78" spans="1:3" ht="12.75">
      <c r="A78" t="str">
        <f>'[2]Table 1'!B55&amp;": "&amp;'[2]Table 1'!C55</f>
        <v>AB1R1: ЛЕНТА 10 ШТ МАРКИРОВКИ НАБОРН ЦИФРА 1</v>
      </c>
      <c r="B78" s="4">
        <f>17.84*0.8</f>
        <v>14.272</v>
      </c>
      <c r="C78" s="11" t="s">
        <v>1</v>
      </c>
    </row>
    <row r="79" spans="1:3" ht="12.75">
      <c r="A79" t="str">
        <f>'[2]Table 1'!B56&amp;": "&amp;'[2]Table 1'!C56</f>
        <v>AB1R12: ЛЕНТА 10 ШТ МАРКИРОВКИ НАБОРН \+\</v>
      </c>
      <c r="B79" s="4">
        <f>16.63*0.8</f>
        <v>13.304</v>
      </c>
      <c r="C79" s="11" t="s">
        <v>1</v>
      </c>
    </row>
    <row r="80" spans="1:3" ht="12.75">
      <c r="A80" t="str">
        <f>'[2]Table 1'!B57&amp;": "&amp;'[2]Table 1'!C57</f>
        <v>AB1R13: ЛЕНТА 10 ШТ МАРКИРОВКИ НАБОРН \-\</v>
      </c>
      <c r="B80" s="4">
        <f>16.63*0.8</f>
        <v>13.304</v>
      </c>
      <c r="C80" s="11" t="s">
        <v>1</v>
      </c>
    </row>
    <row r="81" spans="1:3" ht="12.75">
      <c r="A81" t="str">
        <f>'[2]Table 1'!B58&amp;": "&amp;'[2]Table 1'!C58</f>
        <v>AB1R2: ЛЕНТА 10 ШТ МАРКИРОВКИ НАБОРН ЦИФРА 2</v>
      </c>
      <c r="B81" s="4">
        <f>13.19*0.8</f>
        <v>10.552</v>
      </c>
      <c r="C81" s="11" t="s">
        <v>1</v>
      </c>
    </row>
    <row r="82" spans="1:3" ht="12.75">
      <c r="A82" t="str">
        <f>'[2]Table 1'!B59&amp;": "&amp;'[2]Table 1'!C59</f>
        <v>AB1R3: ЛЕНТА 10 ШТ МАРКИРОВКИ НАБОРН ЦИФРА 3</v>
      </c>
      <c r="B82" s="4">
        <f aca="true" t="shared" si="0" ref="B82:B88">17.13*0.8</f>
        <v>13.704</v>
      </c>
      <c r="C82" s="11" t="s">
        <v>1</v>
      </c>
    </row>
    <row r="83" spans="1:3" ht="12.75">
      <c r="A83" t="str">
        <f>'[2]Table 1'!B60&amp;": "&amp;'[2]Table 1'!C60</f>
        <v>AB1R4: ЛЕНТА 10 ШТ МАРКИРОВКИ НАБОРН ЦИФРА 4</v>
      </c>
      <c r="B83" s="4">
        <f t="shared" si="0"/>
        <v>13.704</v>
      </c>
      <c r="C83" s="11" t="s">
        <v>1</v>
      </c>
    </row>
    <row r="84" spans="1:3" ht="12.75">
      <c r="A84" t="str">
        <f>'[2]Table 1'!B61&amp;": "&amp;'[2]Table 1'!C61</f>
        <v>AB1R5: ЛЕНТА 10 ШТ МАРКИРОВКИ НАБОРН ЦИФРА 5</v>
      </c>
      <c r="B84" s="4">
        <f t="shared" si="0"/>
        <v>13.704</v>
      </c>
      <c r="C84" s="11" t="s">
        <v>1</v>
      </c>
    </row>
    <row r="85" spans="1:3" ht="12.75">
      <c r="A85" t="str">
        <f>'[2]Table 1'!B62&amp;": "&amp;'[2]Table 1'!C62</f>
        <v>AB1R6: ЛЕНТА 10 ШТ МАРКИРОВКИ НАБОРН ЦИФРА 6</v>
      </c>
      <c r="B85" s="4">
        <f t="shared" si="0"/>
        <v>13.704</v>
      </c>
      <c r="C85" s="11" t="s">
        <v>1</v>
      </c>
    </row>
    <row r="86" spans="1:3" ht="12.75">
      <c r="A86" t="str">
        <f>'[2]Table 1'!B63&amp;": "&amp;'[2]Table 1'!C63</f>
        <v>AB1R7: ЛЕНТА 10 ШТ МАРКИРОВКИ НАБОРН ЦИФРА 7</v>
      </c>
      <c r="B86" s="4">
        <f t="shared" si="0"/>
        <v>13.704</v>
      </c>
      <c r="C86" s="11" t="s">
        <v>1</v>
      </c>
    </row>
    <row r="87" spans="1:3" ht="12.75">
      <c r="A87" t="str">
        <f>'[2]Table 1'!B64&amp;": "&amp;'[2]Table 1'!C64</f>
        <v>AB1R8: ЛЕНТА 10 ШТ МАРКИРОВКИ НАБОРН ЦИФРА 8</v>
      </c>
      <c r="B87" s="4">
        <f t="shared" si="0"/>
        <v>13.704</v>
      </c>
      <c r="C87" s="11" t="s">
        <v>1</v>
      </c>
    </row>
    <row r="88" spans="1:3" ht="12.75">
      <c r="A88" t="str">
        <f>'[2]Table 1'!B65&amp;": "&amp;'[2]Table 1'!C65</f>
        <v>AB1R9: ЛЕНТА 10 ШТ МАРКИРОВКИ НАБОРН ЦИФРА 9</v>
      </c>
      <c r="B88" s="4">
        <f t="shared" si="0"/>
        <v>13.704</v>
      </c>
      <c r="C88" s="11" t="s">
        <v>1</v>
      </c>
    </row>
    <row r="89" spans="1:3" ht="12.75">
      <c r="A89" t="str">
        <f>'[2]Table 1'!B66&amp;": "&amp;'[2]Table 1'!C66</f>
        <v>AR1MB01: МАРКИРОВКА 200 ШТ КАЖДОЙ БУКВЫ A-Z</v>
      </c>
      <c r="B89" s="4">
        <f>3085.465*0.8</f>
        <v>2468.3720000000003</v>
      </c>
      <c r="C89" s="11" t="s">
        <v>1</v>
      </c>
    </row>
    <row r="90" spans="1:3" ht="12.75">
      <c r="A90" t="str">
        <f>'[2]Table 1'!B67&amp;": "&amp;'[2]Table 1'!C67</f>
        <v>AB1GA: ЛЕНТА 10 ШТ МАРКИРОВКИ НАБОРН БУКВА A</v>
      </c>
      <c r="B90" s="4">
        <f>16.63*0.8</f>
        <v>13.304</v>
      </c>
      <c r="C90" s="11" t="s">
        <v>1</v>
      </c>
    </row>
    <row r="91" spans="1:3" ht="12.75">
      <c r="A91" t="str">
        <f>'[2]Table 1'!B68&amp;": "&amp;'[2]Table 1'!C68</f>
        <v>AB1GB: ЛЕНТА 10 ШТ МАРКИРОВКИ НАБОРН БУКВА B</v>
      </c>
      <c r="B91" s="4">
        <f>16.63*0.8</f>
        <v>13.304</v>
      </c>
      <c r="C91" s="11" t="s">
        <v>1</v>
      </c>
    </row>
    <row r="92" spans="1:3" ht="12.75">
      <c r="A92" t="str">
        <f>'[2]Table 1'!B69&amp;": "&amp;'[2]Table 1'!C69</f>
        <v>AB1GC: ЛЕНТА 10 ШТ МАРКИРОВКИ НАБОРН БУКВА C</v>
      </c>
      <c r="B92" s="4">
        <f>16.63*0.8</f>
        <v>13.304</v>
      </c>
      <c r="C92" s="11" t="s">
        <v>1</v>
      </c>
    </row>
    <row r="93" spans="1:3" ht="12.75">
      <c r="A93" t="str">
        <f>'[2]Table 1'!B70&amp;": "&amp;'[2]Table 1'!C70</f>
        <v>AB1GD: ЛЕНТА 10 ШТ МАРКИРОВКИ НАБОРН БУКВА D</v>
      </c>
      <c r="B93" s="4">
        <f>16.63*0.8</f>
        <v>13.304</v>
      </c>
      <c r="C93" s="11" t="s">
        <v>1</v>
      </c>
    </row>
    <row r="94" spans="1:3" ht="12.75">
      <c r="A94" t="str">
        <f>'[2]Table 1'!B71&amp;": "&amp;'[2]Table 1'!C71</f>
        <v>AB1GE: ЛЕНТА 10 ШТ МАРКИРОВКИ НАБОРН БУКВА E</v>
      </c>
      <c r="B94" s="4">
        <f>16.63*0.8</f>
        <v>13.304</v>
      </c>
      <c r="C94" s="11" t="s">
        <v>1</v>
      </c>
    </row>
    <row r="95" spans="1:3" ht="12.75">
      <c r="A95" t="str">
        <f>'[2]Table 1'!B72&amp;": "&amp;'[2]Table 1'!C72</f>
        <v>AB1GF: ЛЕНТА 10 ШТ МАРКИРОВКИ НАБОРН БУКВА F</v>
      </c>
      <c r="B95" s="4">
        <f>17.13*0.8</f>
        <v>13.704</v>
      </c>
      <c r="C95" s="11" t="s">
        <v>1</v>
      </c>
    </row>
    <row r="96" spans="1:3" ht="12.75">
      <c r="A96" t="str">
        <f>'[2]Table 1'!B73&amp;": "&amp;'[2]Table 1'!C73</f>
        <v>AB1GG: ЛЕНТА 10 ШТ МАРКИРОВКИ НАБОРН БУКВА G</v>
      </c>
      <c r="B96" s="4">
        <f>16.63*0.8</f>
        <v>13.304</v>
      </c>
      <c r="C96" s="11" t="s">
        <v>1</v>
      </c>
    </row>
    <row r="97" spans="1:3" ht="12.75">
      <c r="A97" t="str">
        <f>'[2]Table 1'!B74&amp;": "&amp;'[2]Table 1'!C74</f>
        <v>AB1GH: ЛЕНТА 10 ШТ МАРКИРОВКИ НАБОРН БУКВА H</v>
      </c>
      <c r="B97" s="4">
        <f>16.31*0.8</f>
        <v>13.048</v>
      </c>
      <c r="C97" s="11" t="s">
        <v>1</v>
      </c>
    </row>
    <row r="98" spans="1:3" ht="12.75">
      <c r="A98" t="str">
        <f>'[2]Table 1'!B75&amp;": "&amp;'[2]Table 1'!C75</f>
        <v>AB1GK: ЛЕНТА 10 ШТ МАРКИРОВКИ НАБОРН БУКВА K</v>
      </c>
      <c r="B98" s="4">
        <f>16.63*0.8</f>
        <v>13.304</v>
      </c>
      <c r="C98" s="11" t="s">
        <v>1</v>
      </c>
    </row>
    <row r="99" spans="1:3" ht="12.75">
      <c r="A99" t="str">
        <f>'[2]Table 1'!B76&amp;": "&amp;'[2]Table 1'!C76</f>
        <v>AB1GL: ЛЕНТА 10 ШТ МАРКИРОВКИ НАБОРН БУКВА L</v>
      </c>
      <c r="B99" s="4">
        <f>16.63*0.8</f>
        <v>13.304</v>
      </c>
      <c r="C99" s="11" t="s">
        <v>1</v>
      </c>
    </row>
    <row r="100" spans="1:3" ht="12.75">
      <c r="A100" t="str">
        <f>'[2]Table 1'!B77&amp;": "&amp;'[2]Table 1'!C77</f>
        <v>AB1GM: ЛЕНТА 10 ШТ МАРКИРОВКИ НАБОРН БУКВА M</v>
      </c>
      <c r="B100" s="4">
        <f>16.63*0.8</f>
        <v>13.304</v>
      </c>
      <c r="C100" s="11" t="s">
        <v>1</v>
      </c>
    </row>
    <row r="101" spans="1:3" ht="12.75">
      <c r="A101" t="str">
        <f>'[2]Table 1'!B78&amp;": "&amp;'[2]Table 1'!C78</f>
        <v>AB1GN: ЛЕНТА 10 ШТ МАРКИРОВКИ НАБОРН БУКВА N</v>
      </c>
      <c r="B101" s="4">
        <f>16.63*0.8</f>
        <v>13.304</v>
      </c>
      <c r="C101" s="11" t="s">
        <v>1</v>
      </c>
    </row>
    <row r="102" spans="1:3" ht="12.75">
      <c r="A102" t="str">
        <f>'[2]Table 1'!B79&amp;": "&amp;'[2]Table 1'!C79</f>
        <v>AB1GQ: ЛЕНТА 10 ШТ МАРКИРОВКИ НАБОРН БУКВА Q</v>
      </c>
      <c r="B102" s="4">
        <f>12.48*0.8</f>
        <v>9.984000000000002</v>
      </c>
      <c r="C102" s="11" t="s">
        <v>1</v>
      </c>
    </row>
    <row r="103" spans="1:3" ht="12.75">
      <c r="A103" t="str">
        <f>'[2]Table 1'!B80&amp;": "&amp;'[2]Table 1'!C80</f>
        <v>AB1GR: ЛЕНТА 10 ШТ МАРКИРОВКИ НАБОРН БУКВА R</v>
      </c>
      <c r="B103" s="4">
        <f>15.11*0.8</f>
        <v>12.088000000000001</v>
      </c>
      <c r="C103" s="11" t="s">
        <v>1</v>
      </c>
    </row>
    <row r="104" spans="1:3" ht="12.75">
      <c r="A104" t="str">
        <f>'[2]Table 1'!B81&amp;": "&amp;'[2]Table 1'!C81</f>
        <v>AB1GS: ЛЕНТА 10 ШТ МАРКИРОВКИ НАБОРН БУКВА S</v>
      </c>
      <c r="B104" s="4">
        <f>16.63*0.8</f>
        <v>13.304</v>
      </c>
      <c r="C104" s="11" t="s">
        <v>1</v>
      </c>
    </row>
    <row r="105" spans="1:3" ht="12.75">
      <c r="A105" t="str">
        <f>'[2]Table 1'!B82&amp;": "&amp;'[2]Table 1'!C82</f>
        <v>AB1GT: ЛЕНТА 10 ШТ МАРКИРОВКИ НАБОРН БУКВА T</v>
      </c>
      <c r="B105" s="4">
        <f>16.63*0.8</f>
        <v>13.304</v>
      </c>
      <c r="C105" s="11" t="s">
        <v>1</v>
      </c>
    </row>
    <row r="106" spans="1:3" ht="12.75">
      <c r="A106" t="str">
        <f>'[2]Table 1'!B83&amp;": "&amp;'[2]Table 1'!C83</f>
        <v>AB1GU: ЛЕНТА 10 ШТ МАРКИРОВКИ НАБОРН БУКВА U</v>
      </c>
      <c r="B106" s="4">
        <f>12.48*0.8</f>
        <v>9.984000000000002</v>
      </c>
      <c r="C106" s="11" t="s">
        <v>1</v>
      </c>
    </row>
    <row r="107" spans="1:3" ht="12.75">
      <c r="A107" t="str">
        <f>'[2]Table 1'!B84&amp;": "&amp;'[2]Table 1'!C84</f>
        <v>AB1GV: ЛЕНТА 10 ШТ МАРКИРОВКИ НАБОРН БУКВА V</v>
      </c>
      <c r="B107" s="4">
        <f>16.63*0.8</f>
        <v>13.304</v>
      </c>
      <c r="C107" s="11" t="s">
        <v>1</v>
      </c>
    </row>
    <row r="108" spans="1:3" ht="12.75">
      <c r="A108" t="str">
        <f>'[2]Table 1'!B85&amp;": "&amp;'[2]Table 1'!C85</f>
        <v>AB1GW: ЛЕНТА 10 ШТ МАРКИРОВКИ НАБОРН БУКВА W</v>
      </c>
      <c r="B108" s="4">
        <f>16.98*0.8</f>
        <v>13.584000000000001</v>
      </c>
      <c r="C108" s="11" t="s">
        <v>1</v>
      </c>
    </row>
    <row r="109" spans="1:3" ht="12.75">
      <c r="A109" t="str">
        <f>'[2]Table 1'!B86&amp;": "&amp;'[2]Table 1'!C86</f>
        <v>AB1GX: ЛЕНТА 10 ШТ МАРКИРОВКИ НАБОРН БУКВА X</v>
      </c>
      <c r="B109" s="4">
        <f>16.63*0.8</f>
        <v>13.304</v>
      </c>
      <c r="C109" s="11" t="s">
        <v>1</v>
      </c>
    </row>
    <row r="110" spans="1:3" ht="12.75">
      <c r="A110" t="str">
        <f>'[2]Table 1'!B87&amp;": "&amp;'[2]Table 1'!C87</f>
        <v>AB1GY: ЛЕНТА 10 ШТ МАРКИРОВКИ НАБОРН БУКВА Y</v>
      </c>
      <c r="B110" s="4">
        <f>15.105*0.8</f>
        <v>12.084000000000001</v>
      </c>
      <c r="C110" s="11" t="s">
        <v>1</v>
      </c>
    </row>
    <row r="111" spans="1:3" ht="12.75">
      <c r="A111" t="str">
        <f>'[2]Table 1'!B88&amp;": "&amp;'[2]Table 1'!C88</f>
        <v>4200: ШИНКА ЗАЗЕМЛЕНИЯ, 24 МОДУЛЯ</v>
      </c>
      <c r="B111" s="4">
        <f>1085.16*0.8</f>
        <v>868.1280000000002</v>
      </c>
      <c r="C111" s="11" t="s">
        <v>1</v>
      </c>
    </row>
    <row r="112" spans="1:3" ht="12.75">
      <c r="A112" t="str">
        <f>'[2]Table 1'!B89&amp;": "&amp;'[2]Table 1'!C89</f>
        <v>A9XPCM04: 4 СОЕДИНИТЕЛЯ ДЛЯ КАБЕЛЕЙ</v>
      </c>
      <c r="B112" s="4">
        <f>396.99*0.8</f>
        <v>317.59200000000004</v>
      </c>
      <c r="C112" s="11" t="s">
        <v>1</v>
      </c>
    </row>
    <row r="113" spans="1:3" ht="12.75">
      <c r="A113" t="str">
        <f>'[2]Table 1'!B90&amp;": "&amp;'[2]Table 1'!C90</f>
        <v>4202: 2 ШИНКИ ЗАЗЕМЛЕНИЯ, 12 МОДУЛЕЙ</v>
      </c>
      <c r="B113" s="4">
        <f>1174.745*0.8</f>
        <v>939.7959999999999</v>
      </c>
      <c r="C113" s="11" t="s">
        <v>1</v>
      </c>
    </row>
    <row r="114" spans="1:3" ht="12.75">
      <c r="A114" t="str">
        <f>'[2]Table 1'!B91&amp;": "&amp;'[2]Table 1'!C91</f>
        <v>4210: КОМПЛ. ШИНКИ ЗАНУЛЕНИЯ</v>
      </c>
      <c r="B114" s="4">
        <f>120.505*0.8</f>
        <v>96.404</v>
      </c>
      <c r="C114" s="11" t="s">
        <v>1</v>
      </c>
    </row>
    <row r="115" spans="1:3" ht="12.75">
      <c r="A115" t="str">
        <f>'[2]Table 1'!B92&amp;": "&amp;'[2]Table 1'!C92</f>
        <v>A9XPH257: ШИНКА ГРЕБЕНЧАТАЯ 2П (L1L2…) 57 МОД.18ММ 100А РАЗРЕЗАЕМАЯ</v>
      </c>
      <c r="B115" s="4">
        <f>2052.63*0.8</f>
        <v>1642.1040000000003</v>
      </c>
      <c r="C115" s="11" t="s">
        <v>1</v>
      </c>
    </row>
    <row r="116" spans="1:3" ht="12.75">
      <c r="A116" t="str">
        <f>'[2]Table 1'!B93&amp;": "&amp;'[2]Table 1'!C93</f>
        <v>A9XPE110: ЗАГЛУШКИ БОКОВЫЕ ДЛЯ ГРЕБЕНЧАТЫХ ШИНОК (A9X) 1П (10ШТ)</v>
      </c>
      <c r="B116" s="4">
        <f>126.82*0.8</f>
        <v>101.456</v>
      </c>
      <c r="C116" s="11" t="s">
        <v>1</v>
      </c>
    </row>
    <row r="117" spans="1:3" ht="12.75">
      <c r="A117" t="str">
        <f>'[2]Table 1'!B94&amp;": "&amp;'[2]Table 1'!C94</f>
        <v>A9XPE310: ЗАГЛУШКИ БОКОВЫЕ ДЛЯ ГРЕБЕНЧАТЫХ ШИНОК (A9X) 3П (10ШТ)</v>
      </c>
      <c r="B117" s="4">
        <f>142.475*0.8</f>
        <v>113.98</v>
      </c>
      <c r="C117" s="11" t="s">
        <v>1</v>
      </c>
    </row>
    <row r="118" spans="1:3" ht="12.75">
      <c r="A118" t="str">
        <f>'[2]Table 1'!B95&amp;": "&amp;'[2]Table 1'!C95</f>
        <v>A9XPH157: ШИНКА ГРЕБЕНЧАТАЯ 1П (L1…) 57 МОД.18ММ 100А РАЗРЕЗАЕМАЯ</v>
      </c>
      <c r="B118" s="4">
        <f>1817.255*0.8</f>
        <v>1453.804</v>
      </c>
      <c r="C118" s="11" t="s">
        <v>1</v>
      </c>
    </row>
    <row r="119" spans="1:3" ht="12.75">
      <c r="A119" t="str">
        <f>'[2]Table 1'!B96&amp;": "&amp;'[2]Table 1'!C96</f>
        <v>A9XPH212: гребенчатая шинка 2Р 100А 12 модулей</v>
      </c>
      <c r="B119" s="4">
        <f>417.14*0.8</f>
        <v>333.712</v>
      </c>
      <c r="C119" s="11" t="s">
        <v>1</v>
      </c>
    </row>
    <row r="120" spans="1:3" ht="12.75">
      <c r="A120" t="str">
        <f>'[2]Table 1'!B97&amp;": "&amp;'[2]Table 1'!C97</f>
        <v>A9XPE210: ЗАГЛУШКИ БОКОВЫЕ ДЛЯ ГРЕБЕНЧАТЫХ ШИНОК (A9X) 2П (10ШТ)</v>
      </c>
      <c r="B120" s="4">
        <f>133.73*0.8</f>
        <v>106.984</v>
      </c>
      <c r="C120" s="11" t="s">
        <v>1</v>
      </c>
    </row>
    <row r="121" spans="1:3" ht="12.75">
      <c r="A121" t="str">
        <f>'[2]Table 1'!B98&amp;": "&amp;'[2]Table 1'!C98</f>
        <v>GV2G272: КОМПЛЕКТ ТРЕХПОЛОСН.ШИН 63А 2Х72 ММ</v>
      </c>
      <c r="B121" s="4">
        <f>1577.405*0.8</f>
        <v>1261.924</v>
      </c>
      <c r="C121" s="11" t="s">
        <v>1</v>
      </c>
    </row>
    <row r="122" spans="1:3" ht="12.75">
      <c r="A122" t="str">
        <f>'[2]Table 1'!B99&amp;": "&amp;'[2]Table 1'!C99</f>
        <v>GV2G472: Комплект трехполосн.шин 63А 4х72 мм</v>
      </c>
      <c r="B122" s="4">
        <f>1778.7*0.8</f>
        <v>1422.96</v>
      </c>
      <c r="C122" s="11" t="s">
        <v>1</v>
      </c>
    </row>
    <row r="123" spans="1:3" ht="12.75">
      <c r="A123" t="str">
        <f>'[2]Table 1'!B100&amp;": "&amp;'[2]Table 1'!C100</f>
        <v>GV2G245: КОМПЛЕКТ ТРЕХПОЛОСН.ШИН 63А 2Х45 ММ</v>
      </c>
      <c r="B123" s="4">
        <f>523.65*0.8</f>
        <v>418.92</v>
      </c>
      <c r="C123" s="11" t="s">
        <v>1</v>
      </c>
    </row>
    <row r="124" spans="1:3" ht="12.75">
      <c r="A124" t="str">
        <f>'[2]Table 1'!B101&amp;": "&amp;'[2]Table 1'!C101</f>
        <v>ATV630U07N4: ПРЕОБР ЧАСТОТЫ 0.75КВТ 380-480В 3Ф</v>
      </c>
      <c r="B124" s="4">
        <f>10984.665*0.8</f>
        <v>8787.732000000002</v>
      </c>
      <c r="C124" s="11" t="s">
        <v>1</v>
      </c>
    </row>
    <row r="125" spans="1:3" ht="12.75">
      <c r="A125" t="str">
        <f>'[2]Table 1'!B102&amp;": "&amp;'[2]Table 1'!C102</f>
        <v>ATV630U07M3: ПРЕОБР ЧАСТОТЫ 0.75КВТ 200-240В 3Ф</v>
      </c>
      <c r="B125" s="4">
        <f>11339.01*0.8</f>
        <v>9071.208</v>
      </c>
      <c r="C125" s="11" t="s">
        <v>1</v>
      </c>
    </row>
    <row r="126" spans="1:3" ht="12.75">
      <c r="A126" t="str">
        <f>'[2]Table 1'!B103&amp;": "&amp;'[2]Table 1'!C103</f>
        <v>ATV312HD11N4: ПРЕОБР ЧАСТОТЫ ATV312 11КВТ 500В 3Ф</v>
      </c>
      <c r="B126" s="4">
        <f>20151.095*0.8</f>
        <v>16120.876000000002</v>
      </c>
      <c r="C126" s="11" t="s">
        <v>1</v>
      </c>
    </row>
    <row r="127" spans="1:3" ht="12.75">
      <c r="A127" t="str">
        <f>'[2]Table 1'!B104&amp;": "&amp;'[2]Table 1'!C104</f>
        <v>VW3A3501: КАРТА КОНТРОЛЛЕР ATV71</v>
      </c>
      <c r="B127" s="4">
        <f>6986.01*0.8</f>
        <v>5588.808000000001</v>
      </c>
      <c r="C127" s="11" t="s">
        <v>1</v>
      </c>
    </row>
    <row r="128" spans="1:3" ht="12.75">
      <c r="A128" t="str">
        <f>'[2]Table 1'!B105&amp;": "&amp;'[2]Table 1'!C105</f>
        <v>VW3CANTAP2: CANOPEN MODBUS</v>
      </c>
      <c r="B128" s="4">
        <f>2864.13*0.8</f>
        <v>2291.304</v>
      </c>
      <c r="C128" s="11" t="s">
        <v>1</v>
      </c>
    </row>
    <row r="129" spans="1:3" ht="12.75">
      <c r="A129" t="str">
        <f>'[2]Table 1'!B106&amp;": "&amp;'[2]Table 1'!C106</f>
        <v>VW3A3401: КАРТА ИНТЕРФЕЙСА ДЛЯ 5 В RS422 ЭНКОДЕРА</v>
      </c>
      <c r="B129" s="4">
        <f>1928.125*0.8</f>
        <v>1542.5</v>
      </c>
      <c r="C129" s="11" t="s">
        <v>1</v>
      </c>
    </row>
    <row r="130" spans="1:3" ht="12.75">
      <c r="A130" t="str">
        <f>'[2]Table 1'!B107&amp;": "&amp;'[2]Table 1'!C107</f>
        <v>ABE7R16T330: TELEFAST БАЗА ПОД 16 СЪЕМНЫХ РЕЛЕ ШИРИНОЙ 12.5ММ</v>
      </c>
      <c r="B130" s="4">
        <f>8458.54*0.8</f>
        <v>6766.832000000001</v>
      </c>
      <c r="C130" s="11" t="s">
        <v>1</v>
      </c>
    </row>
    <row r="131" spans="1:3" ht="12.75">
      <c r="A131" t="str">
        <f>'[2]Table 1'!B108&amp;": "&amp;'[2]Table 1'!C108</f>
        <v>ABE7B20MPN22: TELEFAST БАЗА ПАССИВ НА 12ВХ/8ВЫХ
=24В,СВТД,С ПРЕДОХР,ДЛЯ TWDLMDA20DTK/LMDA40DTK</v>
      </c>
      <c r="B131" s="4">
        <f>4378.545*0.8</f>
        <v>3502.8360000000002</v>
      </c>
      <c r="C131" s="11" t="s">
        <v>1</v>
      </c>
    </row>
    <row r="132" spans="1:3" ht="12.75">
      <c r="A132" t="str">
        <f>'[2]Table 1'!B109&amp;": "&amp;'[2]Table 1'!C109</f>
        <v>ABE7H16C21: TELEFAST БАЗА НА 16 ВХ/ВЫХ, ИНДИКАЦИЯ СОСТ.КАНАЛА, ВЫБОР ПОЛЯРН. 0 ИЛИ 24В</v>
      </c>
      <c r="B132" s="4">
        <f>2472.265*0.8</f>
        <v>1977.812</v>
      </c>
      <c r="C132" s="11" t="s">
        <v>1</v>
      </c>
    </row>
    <row r="133" spans="1:3" ht="12.75">
      <c r="A133" t="str">
        <f>'[2]Table 1'!B110&amp;": "&amp;'[2]Table 1'!C110</f>
        <v>ABE7S16E2M0: TELEFAST БАЗА НА 16 ДИСКР ВХОДОВ (~230В 50/60 ГЦ), С ГАЛЬВАНИЧЕСКОЙ РАЗВЯЗКОЙ</v>
      </c>
      <c r="B133" s="4">
        <f>5715.69*0.8</f>
        <v>4572.552</v>
      </c>
      <c r="C133" s="11" t="s">
        <v>1</v>
      </c>
    </row>
    <row r="134" spans="1:3" ht="12.75">
      <c r="A134" t="str">
        <f>'[2]Table 1'!B111&amp;": "&amp;'[2]Table 1'!C111</f>
        <v>ABE7H16F43: TELEFAST БАЗА 16 ВЫХ, ИНДИКАЦИЯ СОСТОЯНИЯ КАНАЛА, ИЗОЛЯТОР И ПРЕДОХР. НА КАНАЛ</v>
      </c>
      <c r="B134" s="4">
        <f>3612.125*0.8</f>
        <v>2889.7000000000003</v>
      </c>
      <c r="C134" s="11" t="s">
        <v>1</v>
      </c>
    </row>
    <row r="135" spans="1:3" ht="12.75">
      <c r="A135" t="str">
        <f>'[2]Table 1'!B112&amp;": "&amp;'[2]Table 1'!C112</f>
        <v>ABE7H16S21: TELEFAST БАЗА 16 ВХ/ВЫХ, ИНДИКАЦ СОСТ. КАНАЛА, ВЫБОР ПОЛЯРН. 0 ИЛИ 24В, ИЗОЛИР.</v>
      </c>
      <c r="B135" s="4">
        <f>2718.595*0.8</f>
        <v>2174.8759999999997</v>
      </c>
      <c r="C135" s="11" t="s">
        <v>1</v>
      </c>
    </row>
    <row r="136" spans="1:3" ht="12.75">
      <c r="A136" t="str">
        <f>'[2]Table 1'!B113&amp;": "&amp;'[2]Table 1'!C113</f>
        <v>ABE7TES160: СИМУЛЯТОР 16 КАНАЛОВ ВВОДА/ВЫВОДА</v>
      </c>
      <c r="B136" s="4">
        <f>4712.965*0.8</f>
        <v>3770.3720000000003</v>
      </c>
      <c r="C136" s="11" t="s">
        <v>1</v>
      </c>
    </row>
    <row r="137" spans="1:3" ht="12.75">
      <c r="A137" t="str">
        <f>'[2]Table 1'!B114&amp;": "&amp;'[2]Table 1'!C114</f>
        <v>ABE7S16S1B2: TELEFAST БАЗА НА 16 ДИСКРЕТНЫХ СТАТИЧЕСКИХ ВЫХОДОВ (24VDC/0.5 A)</v>
      </c>
      <c r="B137" s="4">
        <f>4216.085*0.8</f>
        <v>3372.8680000000004</v>
      </c>
      <c r="C137" s="11" t="s">
        <v>1</v>
      </c>
    </row>
    <row r="138" spans="1:3" ht="12.75">
      <c r="A138" t="str">
        <f>'[2]Table 1'!B115&amp;": "&amp;'[2]Table 1'!C115</f>
        <v>ABE7P16T334: TELEFAST БАЗА ПОД 16 СЪЕМ РЕЛЕ 12.5ММ, ПРЕДОХР. НА КАНАЛ (ЗАКАЗ РЕЛЕ ОТДЕЛЬНО)</v>
      </c>
      <c r="B138" s="4">
        <f>5440.345*0.8</f>
        <v>4352.276000000001</v>
      </c>
      <c r="C138" s="11" t="s">
        <v>1</v>
      </c>
    </row>
    <row r="139" spans="1:3" ht="12.75">
      <c r="A139" t="str">
        <f>'[2]Table 1'!B116&amp;": "&amp;'[2]Table 1'!C116</f>
        <v>ABE7CPA31: TELEFAST - 8 ИЗОЛИР.КАНАЛОВ</v>
      </c>
      <c r="B139" s="4">
        <f>13580.91*0.8</f>
        <v>10864.728000000001</v>
      </c>
      <c r="C139" s="11" t="s">
        <v>1</v>
      </c>
    </row>
    <row r="140" spans="1:3" ht="12.75">
      <c r="A140" t="str">
        <f>'[2]Table 1'!B117&amp;": "&amp;'[2]Table 1'!C117</f>
        <v>ABE7CPA01: TELEFAST БАЗА НА АНАЛОГОВЫЕ СИГНАЛЫ ДЛЯ TSX3722/CTZ*A (SUB-D15)</v>
      </c>
      <c r="B140" s="4">
        <f>2314.02*0.8</f>
        <v>1851.2160000000001</v>
      </c>
      <c r="C140" s="11" t="s">
        <v>1</v>
      </c>
    </row>
    <row r="141" spans="1:3" ht="12.75">
      <c r="A141" t="str">
        <f>'[2]Table 1'!B118&amp;": "&amp;'[2]Table 1'!C118</f>
        <v>ABE7CPA03: TELEFAST - 8 НЕ ИЗОЛИР. КАНАЛОВ</v>
      </c>
      <c r="B141" s="4">
        <f>3869.19*0.8</f>
        <v>3095.3520000000003</v>
      </c>
      <c r="C141" s="11" t="s">
        <v>1</v>
      </c>
    </row>
    <row r="142" spans="1:3" ht="12.75">
      <c r="A142" t="str">
        <f>'[2]Table 1'!B119&amp;": "&amp;'[2]Table 1'!C119</f>
        <v>ABE7CPA12: TELEFAST - 8 ТЕРМОПАР ДЛЯ AEY1614</v>
      </c>
      <c r="B142" s="4">
        <f>12583.645*0.8</f>
        <v>10066.916000000001</v>
      </c>
      <c r="C142" s="11" t="s">
        <v>1</v>
      </c>
    </row>
    <row r="143" spans="1:3" ht="12.75">
      <c r="A143" t="str">
        <f>'[2]Table 1'!B120&amp;": "&amp;'[2]Table 1'!C120</f>
        <v>ABE7H16R11: TELEFAST БАЗА 16 КАНАЛОВ ВХ/ВЫХ, ИНДИКАЦИЯ СОСТОЯНИЯ КАНАЛА</v>
      </c>
      <c r="B143" s="4">
        <f>1491.165*0.8</f>
        <v>1192.932</v>
      </c>
      <c r="C143" s="11" t="s">
        <v>1</v>
      </c>
    </row>
    <row r="144" spans="1:3" ht="12.75">
      <c r="A144" t="str">
        <f>'[2]Table 1'!B121&amp;": "&amp;'[2]Table 1'!C121</f>
        <v>ABE7CPA11: TELEFAST - ДЛЯ АБСОЛЮТНЫХ КОДИРОВЩИКОВ</v>
      </c>
      <c r="B144" s="4">
        <f>11035.97*0.8</f>
        <v>8828.776</v>
      </c>
      <c r="C144" s="11" t="s">
        <v>1</v>
      </c>
    </row>
    <row r="145" spans="1:3" ht="12.75">
      <c r="A145" t="str">
        <f>'[2]Table 1'!B122&amp;": "&amp;'[2]Table 1'!C122</f>
        <v>ABE7H16R21: TELEFAST БАЗА 16 КАНАЛОВ ВХ/ВЫХ, ИНДИКАЦИЯ СОСТОЯНИЯ КАНАЛА</v>
      </c>
      <c r="B145" s="4">
        <f>1922.635*0.8</f>
        <v>1538.1080000000002</v>
      </c>
      <c r="C145" s="11" t="s">
        <v>1</v>
      </c>
    </row>
    <row r="146" spans="1:3" ht="12.75">
      <c r="A146" t="str">
        <f>'[2]Table 1'!B123&amp;": "&amp;'[2]Table 1'!C123</f>
        <v>ABE7BV10: TELEFAST ДОПОЛНИТЕЛЬНЫЙ КЛЕММНИК НА 10 ТОЧЕК, КОНТАКТЫ С ВИНТОВЫМ ЗАЖИМОМ</v>
      </c>
      <c r="B146" s="4">
        <f>596.04*0.8</f>
        <v>476.832</v>
      </c>
      <c r="C146" s="11" t="s">
        <v>1</v>
      </c>
    </row>
    <row r="147" spans="1:3" ht="12.75">
      <c r="A147" t="str">
        <f>'[2]Table 1'!B124&amp;": "&amp;'[2]Table 1'!C124</f>
        <v>ABE7S16E2B1: TELEFAST БАЗА НА 16 ДИСКРЕТНЫХ ВХОДОВ (=24В), С ГАЛЬВАНИЧЕСКОЙ РАЗВЯЗКОЙ</v>
      </c>
      <c r="B147" s="4">
        <f>5964.125*0.8</f>
        <v>4771.3</v>
      </c>
      <c r="C147" s="11" t="s">
        <v>1</v>
      </c>
    </row>
    <row r="148" spans="1:3" ht="12.75">
      <c r="A148" t="str">
        <f>'[2]Table 1'!B125&amp;": "&amp;'[2]Table 1'!C125</f>
        <v>ABS7SC3BA: РЕЛЕ СТАТИЧЕСКОЕ =24В 2А 12,5ММ</v>
      </c>
      <c r="B148" s="4">
        <f>841.845*0.8</f>
        <v>673.4760000000001</v>
      </c>
      <c r="C148" s="11" t="s">
        <v>1</v>
      </c>
    </row>
    <row r="149" spans="1:3" ht="12.75">
      <c r="A149" t="str">
        <f>'[2]Table 1'!B126&amp;": "&amp;'[2]Table 1'!C126</f>
        <v>ABS7EA3M5: TELEFAST РЕЛЕ СТАТИЧЕСКОЕ ~230/240В 12,5ММ</v>
      </c>
      <c r="B149" s="4">
        <f>624*0.8</f>
        <v>499.20000000000005</v>
      </c>
      <c r="C149" s="11" t="s">
        <v>1</v>
      </c>
    </row>
    <row r="150" spans="1:3" ht="12.75">
      <c r="A150" t="str">
        <f>'[2]Table 1'!B127&amp;": "&amp;'[2]Table 1'!C127</f>
        <v>ABR7S21: TELEFAST РЕЛЕ ЭЛЕКТРОМЕХАНИЧЕСКОЕ
=24В 1NO 5A 10ММ</v>
      </c>
      <c r="B150" s="4">
        <f>106.55*0.8</f>
        <v>85.24000000000001</v>
      </c>
      <c r="C150" s="11" t="s">
        <v>1</v>
      </c>
    </row>
    <row r="151" spans="1:3" ht="12.75">
      <c r="A151" t="str">
        <f>'[2]Table 1'!B128&amp;": "&amp;'[2]Table 1'!C128</f>
        <v>ABS7SA3M: TELEFAST РЕЛЕ СТАТИЧЕСКОЕ ~24-240В 2А 12,5ММ</v>
      </c>
      <c r="B151" s="4">
        <f>1345.055*0.8</f>
        <v>1076.044</v>
      </c>
      <c r="C151" s="11" t="s">
        <v>1</v>
      </c>
    </row>
    <row r="152" spans="1:3" ht="12.75">
      <c r="A152" t="str">
        <f>'[2]Table 1'!B129&amp;": "&amp;'[2]Table 1'!C129</f>
        <v>ABS7EC3B2: TELEFAST РЕЛЕ СТАТИЧЕСКОЕ =24В 12,5ММ</v>
      </c>
      <c r="B152" s="4">
        <f>606.065*0.8</f>
        <v>484.8520000000001</v>
      </c>
      <c r="C152" s="11" t="s">
        <v>1</v>
      </c>
    </row>
    <row r="153" spans="1:3" ht="12.75">
      <c r="A153" t="str">
        <f>'[2]Table 1'!B130&amp;": "&amp;'[2]Table 1'!C130</f>
        <v>ABE7P16F312: БАЗА ПОД 16 СЪЕМН.РЕЛЕ 12,5ММ ГРУПП</v>
      </c>
      <c r="B153" s="4">
        <f>5537.93*0.8</f>
        <v>4430.344</v>
      </c>
      <c r="C153" s="11" t="s">
        <v>1</v>
      </c>
    </row>
    <row r="154" spans="1:3" ht="12.75">
      <c r="A154" t="str">
        <f>'[2]Table 1'!B131&amp;": "&amp;'[2]Table 1'!C131</f>
        <v>ABE7P16T330: TELEFAST БАЗА НА 16 ВЫХ, СО СЪЕМНЫМИ ЭЛЕКТРОМЕХ. РЕЛЕ 12 ММ, 1 ПЕРЕКИДНОЙ</v>
      </c>
      <c r="B154" s="4">
        <f>4464.52*0.8</f>
        <v>3571.6160000000004</v>
      </c>
      <c r="C154" s="11" t="s">
        <v>1</v>
      </c>
    </row>
    <row r="155" spans="1:3" ht="12.75">
      <c r="A155" t="str">
        <f>'[2]Table 1'!B132&amp;": "&amp;'[2]Table 1'!C132</f>
        <v>ABR7S33: TELEFAST РЕЛЕ ЭЛЕКТРОМЕХАНИЧЕСКОЕ
=24В 1CO 10A 12,5ММ</v>
      </c>
      <c r="B155" s="4">
        <f>175.65*0.8</f>
        <v>140.52</v>
      </c>
      <c r="C155" s="11" t="s">
        <v>1</v>
      </c>
    </row>
    <row r="156" spans="1:3" ht="12.75">
      <c r="A156" t="str">
        <f>'[2]Table 1'!B133&amp;": "&amp;'[2]Table 1'!C133</f>
        <v>490NRP25300: ОПТОВОЛКОННЫЙ ПОВТОРИТЕЛЬ ДЛЯ MODBUS+ ТОЧКА-ТОЧКА</v>
      </c>
      <c r="B156" s="4">
        <f>77273.775*0.8</f>
        <v>61819.02</v>
      </c>
      <c r="C156" s="11" t="s">
        <v>1</v>
      </c>
    </row>
    <row r="157" spans="1:3" ht="12.75">
      <c r="A157" t="str">
        <f>'[2]Table 1'!B134&amp;": "&amp;'[2]Table 1'!C134</f>
        <v>NWBP85002: МОСТ MODBUS+ С РЕЗЕРВ. КАНАЛОМ</v>
      </c>
      <c r="B157" s="4">
        <f>98598.26*0.8</f>
        <v>78878.60800000001</v>
      </c>
      <c r="C157" s="11" t="s">
        <v>1</v>
      </c>
    </row>
    <row r="158" spans="1:3" ht="12.75">
      <c r="A158" t="str">
        <f>'[2]Table 1'!B135&amp;": "&amp;'[2]Table 1'!C135</f>
        <v>990NAD23021: MODBUS PLUS SUPER TAP - МОНТАЖ НА ПАНЕЛЬ</v>
      </c>
      <c r="B158" s="4">
        <f>5583.945*0.8</f>
        <v>4467.156</v>
      </c>
      <c r="C158" s="11" t="s">
        <v>1</v>
      </c>
    </row>
    <row r="159" spans="1:3" ht="12.75">
      <c r="A159" t="str">
        <f>'[2]Table 1'!B136&amp;": "&amp;'[2]Table 1'!C136</f>
        <v>490NRP25400: ОПТОВОЛКОННЫЙ ПОВТОРИТЕЛЬ ДЛЯ MODBUS+ ОТВЕТВЛЕНИЕ</v>
      </c>
      <c r="B159" s="4">
        <f>100356.99*0.8</f>
        <v>80285.592</v>
      </c>
      <c r="C159" s="11" t="s">
        <v>1</v>
      </c>
    </row>
    <row r="160" spans="1:3" ht="12.75">
      <c r="A160" t="str">
        <f>'[2]Table 1'!B137&amp;": "&amp;'[2]Table 1'!C137</f>
        <v>ABE7P16F310: TELEFAST БАЗА ПОД 16 СЪЕМНЫХ РЕЛЕ ШИРИНОЙ 12,5ММ (ЗАКАЗ РЕЛЕ ОТДЕЛЬНО)</v>
      </c>
      <c r="B160" s="4">
        <f>4464.52*0.8</f>
        <v>3571.6160000000004</v>
      </c>
      <c r="C160" s="11" t="s">
        <v>1</v>
      </c>
    </row>
    <row r="161" spans="1:3" ht="12.75">
      <c r="A161" t="str">
        <f>'[2]Table 1'!B138&amp;": "&amp;'[2]Table 1'!C138</f>
        <v>990NAD23011: ДВА MODBUS PLUS ТЕРМИНАТОРА ДЛЯ 990-NAD-230-10 TAP, IP65</v>
      </c>
      <c r="B161" s="4">
        <f>1285.075*0.8</f>
        <v>1028.0600000000002</v>
      </c>
      <c r="C161" s="11" t="s">
        <v>1</v>
      </c>
    </row>
    <row r="162" spans="1:3" ht="12.75">
      <c r="A162" t="str">
        <f>'[2]Table 1'!B139&amp;": "&amp;'[2]Table 1'!C139</f>
        <v>990NAD23020: MODBUS PLUS SUPER TAP - МОНТАЖ НА DIN-РЕЙКУ</v>
      </c>
      <c r="B162" s="4">
        <f>5507.195*0.8</f>
        <v>4405.756</v>
      </c>
      <c r="C162" s="11" t="s">
        <v>1</v>
      </c>
    </row>
    <row r="163" spans="1:3" ht="12.75">
      <c r="A163" t="str">
        <f>'[2]Table 1'!B140&amp;": "&amp;'[2]Table 1'!C140</f>
        <v>140CFX00110: КОМПЛЕКТ ПЕРЕМЫЧЕК CABLE-FAST (10 ШТ.)</v>
      </c>
      <c r="B163" s="4">
        <f>282.805*0.8</f>
        <v>226.24400000000003</v>
      </c>
      <c r="C163" s="11" t="s">
        <v>1</v>
      </c>
    </row>
    <row r="164" spans="1:3" ht="12.75">
      <c r="A164" t="str">
        <f>'[2]Table 1'!B141&amp;": "&amp;'[2]Table 1'!C141</f>
        <v>990NAD23022: MODBUS PLUS SUPER TAP- ТЕРМИНАТОР</v>
      </c>
      <c r="B164" s="4">
        <f>2435.82*0.8</f>
        <v>1948.6560000000002</v>
      </c>
      <c r="C164" s="11" t="s">
        <v>1</v>
      </c>
    </row>
    <row r="165" spans="1:3" ht="12.75">
      <c r="A165" t="str">
        <f>'[2]Table 1'!B142&amp;": "&amp;'[2]Table 1'!C142</f>
        <v>975951000: КАБЕЛЬ RIO RG-11 305М.</v>
      </c>
      <c r="B165" s="4">
        <f>68778.405*0.8</f>
        <v>55022.724</v>
      </c>
      <c r="C165" s="11" t="s">
        <v>1</v>
      </c>
    </row>
    <row r="166" spans="1:3" ht="12.75">
      <c r="A166" t="str">
        <f>'[2]Table 1'!B143&amp;": "&amp;'[2]Table 1'!C143</f>
        <v>TSXCSA100: КАБЕЛЬ UTW 100М.</v>
      </c>
      <c r="B166" s="4">
        <f>10413.595*0.8</f>
        <v>8330.876</v>
      </c>
      <c r="C166" s="11" t="s">
        <v>1</v>
      </c>
    </row>
    <row r="167" spans="1:3" ht="12.75">
      <c r="A167" t="str">
        <f>'[2]Table 1'!B144&amp;": "&amp;'[2]Table 1'!C144</f>
        <v>VW3A8306R10: КАБЕЛЬ 1 M, 2X RJ45</v>
      </c>
      <c r="B167" s="4">
        <f>263.985*0.8</f>
        <v>211.18800000000002</v>
      </c>
      <c r="C167" s="11" t="s">
        <v>1</v>
      </c>
    </row>
    <row r="168" spans="1:3" ht="12.75">
      <c r="A168" t="str">
        <f>'[2]Table 1'!B145&amp;": "&amp;'[2]Table 1'!C145</f>
        <v>VW3M8201R15: КАБЕЛЬ ИМП/НАПР ESIM LXM05 1.5М</v>
      </c>
      <c r="B168" s="4">
        <f>2447.525*0.8</f>
        <v>1958.0200000000002</v>
      </c>
      <c r="C168" s="11" t="s">
        <v>1</v>
      </c>
    </row>
    <row r="169" spans="1:3" ht="12.75">
      <c r="A169" t="str">
        <f>'[2]Table 1'!B146&amp;": "&amp;'[2]Table 1'!C146</f>
        <v>XBTZ925: КОМПЛЕКТ КАБЕЛЕЙ ДЛЯ КОНВЕРТЕРА TSXCUSB485 ДЛЯ ЗАГР. ПРИЛОЖ. В ПАНЕЛИ XBT-N/R/RT</v>
      </c>
      <c r="B169" s="4">
        <f>383.34*0.8</f>
        <v>306.67199999999997</v>
      </c>
      <c r="C169" s="11" t="s">
        <v>1</v>
      </c>
    </row>
    <row r="170" spans="1:3" ht="12.75">
      <c r="A170" t="str">
        <f>'[2]Table 1'!B147&amp;": "&amp;'[2]Table 1'!C147</f>
        <v>XBTZG935: USB КАБЕЛЬ ДЛЯ ПРОГРАММИРОВАНИЯ XBT GT 1XX5 / 2000…7000</v>
      </c>
      <c r="B170" s="4">
        <f>4985.93*0.5</f>
        <v>2492.965</v>
      </c>
      <c r="C170" s="11" t="s">
        <v>1</v>
      </c>
    </row>
    <row r="171" spans="1:3" ht="12.75">
      <c r="A171" t="str">
        <f>'[2]Table 1'!B148&amp;": "&amp;'[2]Table 1'!C148</f>
        <v>XBTZN999: АДАПТЕР RJ45 ДЛЯ ИСПОЛЬЗОВАНИЯ КАБЕЛЯ XBTZ9780 СО СТАРЫМИ ВЕРСИЯМИ XBT N</v>
      </c>
      <c r="B171" s="4">
        <f>302.665*0.8</f>
        <v>242.13200000000003</v>
      </c>
      <c r="C171" s="11" t="s">
        <v>1</v>
      </c>
    </row>
    <row r="172" spans="1:3" ht="12.75">
      <c r="A172" t="str">
        <f>'[2]Table 1'!B149&amp;": "&amp;'[2]Table 1'!C149</f>
        <v>XBTZ9980: КАБЕЛЬ ДЛЯ ПОДКЛЮЧЕНИЯ XBT С RJ45, К ПЛК MODICON M340 (RJ45 / RJ45), 2,5М</v>
      </c>
      <c r="B172" s="4">
        <f>767.18*0.8</f>
        <v>613.744</v>
      </c>
      <c r="C172" s="11" t="s">
        <v>1</v>
      </c>
    </row>
    <row r="173" spans="1:3" ht="12.75">
      <c r="A173" t="str">
        <f>'[2]Table 1'!B150&amp;": "&amp;'[2]Table 1'!C150</f>
        <v>VW3A8306R30: КАБЕЛЬ 3 М, 2Х RJ45</v>
      </c>
      <c r="B173" s="4">
        <f>409.86*0.8</f>
        <v>327.88800000000003</v>
      </c>
      <c r="C173" s="11" t="s">
        <v>1</v>
      </c>
    </row>
    <row r="174" spans="1:3" ht="12.75">
      <c r="A174" t="str">
        <f>'[2]Table 1'!B151&amp;": "&amp;'[2]Table 1'!C151</f>
        <v>VW3A1104R10: 1М КАБЕЛЬ ДЛЯ ГРАФИЧ ТЕРМИНАЛА</v>
      </c>
      <c r="B174" s="4">
        <f>340.86*0.8</f>
        <v>272.68800000000005</v>
      </c>
      <c r="C174" s="11" t="s">
        <v>1</v>
      </c>
    </row>
    <row r="175" spans="1:3" ht="12.75">
      <c r="A175" t="str">
        <f>'[2]Table 1'!B152&amp;": "&amp;'[2]Table 1'!C152</f>
        <v>XBTZ9780: КАБЕЛЬ ПЛК (MINI-DIN - RJ45) &lt;-&gt; XBT</v>
      </c>
      <c r="B175" s="4">
        <f>1150.52*0.8</f>
        <v>920.416</v>
      </c>
      <c r="C175" s="11" t="s">
        <v>1</v>
      </c>
    </row>
    <row r="176" spans="1:3" ht="12.75">
      <c r="A176" t="str">
        <f>'[2]Table 1'!B153&amp;": "&amp;'[2]Table 1'!C153</f>
        <v>VW3A8306D30: 2 СОЕДИНИТЕЛЬ RJ45 И ЗАЩИЩЕННЫЕ КОНЦЫ</v>
      </c>
      <c r="B176" s="4">
        <f>512.035*0.8</f>
        <v>409.628</v>
      </c>
      <c r="C176" s="11" t="s">
        <v>1</v>
      </c>
    </row>
    <row r="177" spans="1:3" ht="12.75">
      <c r="A177" t="str">
        <f>'[2]Table 1'!B154&amp;": "&amp;'[2]Table 1'!C154</f>
        <v>XBTZ938: КАБЕЛЬ TESYS, ATV &lt;-&gt; XBTN, 2.5M</v>
      </c>
      <c r="B177" s="4">
        <f>1040.28*0.8</f>
        <v>832.224</v>
      </c>
      <c r="C177" s="11" t="s">
        <v>1</v>
      </c>
    </row>
    <row r="178" spans="1:3" ht="12.75">
      <c r="A178" t="str">
        <f>'[2]Table 1'!B155&amp;": "&amp;'[2]Table 1'!C155</f>
        <v>TSXCDP501: КАБЕЛЬ 1ХНЕ10, 0.34MM2, 5M</v>
      </c>
      <c r="B178" s="4">
        <f>1920.21*0.8</f>
        <v>1536.1680000000001</v>
      </c>
      <c r="C178" s="11" t="s">
        <v>1</v>
      </c>
    </row>
    <row r="179" spans="1:3" ht="12.75">
      <c r="A179" t="str">
        <f>'[2]Table 1'!B156&amp;": "&amp;'[2]Table 1'!C156</f>
        <v>ABFT26B100: КАБЕЛЬ ДЛЯ МОДУЛЬНОГО ПЛК TWIDO И БАЗОЙ TELEFAST, ДЛИНА 1M</v>
      </c>
      <c r="B179" s="4">
        <f>309.63*0.8</f>
        <v>247.704</v>
      </c>
      <c r="C179" s="11" t="s">
        <v>1</v>
      </c>
    </row>
    <row r="180" spans="1:3" ht="12.75">
      <c r="A180" t="str">
        <f>'[2]Table 1'!B157&amp;": "&amp;'[2]Table 1'!C157</f>
        <v>BMXFTW301S: КАБЕЛЬ FTB 20-ПРОВОД., 3М, SHIELDED</v>
      </c>
      <c r="B180" s="4">
        <f>1305.425*0.8</f>
        <v>1044.34</v>
      </c>
      <c r="C180" s="11" t="s">
        <v>1</v>
      </c>
    </row>
    <row r="181" spans="1:3" ht="12.75">
      <c r="A181" t="str">
        <f>'[2]Table 1'!B158&amp;": "&amp;'[2]Table 1'!C158</f>
        <v>TSXCDP053: КАБЕЛЬ TELEFAST, 2ХНЕ10, 0.34MM2, 0.5M</v>
      </c>
      <c r="B181" s="4">
        <f>1135.585*0.8</f>
        <v>908.4680000000001</v>
      </c>
      <c r="C181" s="11" t="s">
        <v>1</v>
      </c>
    </row>
    <row r="182" spans="1:3" ht="12.75">
      <c r="A182" t="str">
        <f>'[2]Table 1'!B159&amp;": "&amp;'[2]Table 1'!C159</f>
        <v>TSXCXP213: КАБЕЛЬ TSXCAY* &lt;-&gt; TSXTAPMAS/ABE7CPA01, 2.5M</v>
      </c>
      <c r="B182" s="4">
        <f>2351.16*0.8</f>
        <v>1880.9279999999999</v>
      </c>
      <c r="C182" s="11" t="s">
        <v>1</v>
      </c>
    </row>
    <row r="183" spans="1:3" ht="12.75">
      <c r="A183" t="str">
        <f>'[2]Table 1'!B160&amp;": "&amp;'[2]Table 1'!C160</f>
        <v>TSXSCPCD1030: КАБЕЛЬ RS232D: SCP111 &lt;-&gt; ТОЧКА-ТОЧКА, 3M</v>
      </c>
      <c r="B183" s="4">
        <f>3831.165*0.8</f>
        <v>3064.9320000000002</v>
      </c>
      <c r="C183" s="11" t="s">
        <v>1</v>
      </c>
    </row>
    <row r="184" spans="1:3" ht="12.75">
      <c r="A184" t="str">
        <f>'[2]Table 1'!B161&amp;": "&amp;'[2]Table 1'!C161</f>
        <v>SR2USB01: ZELIO LOGIC КАБ. ДЛЯ СВЯЗИ С ПК ЧЕРЕЗ ПОРТ</v>
      </c>
      <c r="B184" s="4">
        <f>2051.335*0.8</f>
        <v>1641.0680000000002</v>
      </c>
      <c r="C184" s="11" t="s">
        <v>1</v>
      </c>
    </row>
    <row r="185" spans="1:3" ht="12.75">
      <c r="A185" t="str">
        <f>'[2]Table 1'!B162&amp;": "&amp;'[2]Table 1'!C162</f>
        <v>XCCPM23121L10: РАЗЪЕМ М23 С КАБЕЛЕМ 10 ЖИЛ</v>
      </c>
      <c r="B185" s="4">
        <f>4484.455*0.8</f>
        <v>3587.5640000000003</v>
      </c>
      <c r="C185" s="11" t="s">
        <v>1</v>
      </c>
    </row>
    <row r="186" spans="1:3" ht="12.75">
      <c r="A186" t="str">
        <f>'[2]Table 1'!B163&amp;": "&amp;'[2]Table 1'!C163</f>
        <v>TSXCCPS15050: КАБЕЛЬ ДЛЯ СЧЕТЧИКОВ/АНАЛОГОВЫХ КАНАЛОВ TSX37/TSX57, 0.5 М</v>
      </c>
      <c r="B186" s="4">
        <f>3330.265*0.8</f>
        <v>2664.212</v>
      </c>
      <c r="C186" s="11" t="s">
        <v>1</v>
      </c>
    </row>
    <row r="187" spans="1:3" ht="12.75">
      <c r="A187" t="str">
        <f>'[2]Table 1'!B164&amp;": "&amp;'[2]Table 1'!C164</f>
        <v>TSXSCPCM4030: КАБЕЛЬ MODBUS RS485: SCP114 &lt;-&gt; SCA50, 3M</v>
      </c>
      <c r="B187" s="4">
        <f>3790.405*0.8</f>
        <v>3032.3240000000005</v>
      </c>
      <c r="C187" s="11" t="s">
        <v>1</v>
      </c>
    </row>
    <row r="188" spans="1:3" ht="12.75">
      <c r="A188" t="str">
        <f>'[2]Table 1'!B165&amp;": "&amp;'[2]Table 1'!C165</f>
        <v>TSXSCYCM6030: КАБЕЛЬ MODBUS: SCY2160*(КАНАЛ 0)/SCY11601 &lt;-&gt; SCA50, 3M</v>
      </c>
      <c r="B188" s="4">
        <f>4651.92*0.8</f>
        <v>3721.536</v>
      </c>
      <c r="C188" s="11" t="s">
        <v>1</v>
      </c>
    </row>
    <row r="189" spans="1:3" ht="12.75">
      <c r="A189" t="str">
        <f>'[2]Table 1'!B166&amp;": "&amp;'[2]Table 1'!C166</f>
        <v>ABFT20E200: КАБЕЛЬ ДЛЯ MОДУЛЯ РАСШИРЕНИЯ TWIDO И БАЗОЙ TELEFAST, ДЛИНА 2M</v>
      </c>
      <c r="B189" s="4">
        <f>368.7*0.8</f>
        <v>294.96</v>
      </c>
      <c r="C189" s="11" t="s">
        <v>1</v>
      </c>
    </row>
    <row r="190" spans="1:3" ht="12.75">
      <c r="A190" t="str">
        <f>'[2]Table 1'!B167&amp;": "&amp;'[2]Table 1'!C167</f>
        <v>TSXCBY030K: КАБЕЛЬ РАСШИРЕНИЯ 3М ДЛЯ RKY*EX (ШИНА Х)</v>
      </c>
      <c r="B190" s="4">
        <f>1955.345*0.8</f>
        <v>1564.276</v>
      </c>
      <c r="C190" s="11" t="s">
        <v>1</v>
      </c>
    </row>
    <row r="191" spans="1:3" ht="12.75">
      <c r="A191" t="str">
        <f>'[2]Table 1'!B168&amp;": "&amp;'[2]Table 1'!C168</f>
        <v>TSXCCPS15: КАБЕЛЬ ДЛЯ СЧЕТЧИКОВ/АНАЛОГОВЫХ КАНАЛОВ (2XSUB-D15), 2.5M</v>
      </c>
      <c r="B191" s="4">
        <f>3362.92*0.8</f>
        <v>2690.3360000000002</v>
      </c>
      <c r="C191" s="11" t="s">
        <v>1</v>
      </c>
    </row>
    <row r="192" spans="1:3" ht="12.75">
      <c r="A192" t="str">
        <f>'[2]Table 1'!B169&amp;": "&amp;'[2]Table 1'!C169</f>
        <v>BMXFCC303: КАБЕЛЬ FCN -&gt; 2XHE 3М</v>
      </c>
      <c r="B192" s="4">
        <f>1627.35*0.8</f>
        <v>1301.88</v>
      </c>
      <c r="C192" s="11" t="s">
        <v>1</v>
      </c>
    </row>
    <row r="193" spans="1:3" ht="12.75">
      <c r="A193" t="str">
        <f>'[2]Table 1'!B170&amp;": "&amp;'[2]Table 1'!C170</f>
        <v>BMXFCC503: КАБЕЛЬ FCN -&gt; 2XHE 5М</v>
      </c>
      <c r="B193" s="4">
        <f>2498.59*0.8</f>
        <v>1998.8720000000003</v>
      </c>
      <c r="C193" s="11" t="s">
        <v>1</v>
      </c>
    </row>
    <row r="194" spans="1:3" ht="12.75">
      <c r="A194" t="str">
        <f>'[2]Table 1'!B171&amp;": "&amp;'[2]Table 1'!C171</f>
        <v>BMXFCW503: КАБЕЛЬ FCN 2X20-ПРОВОД., 5М</v>
      </c>
      <c r="B194" s="4">
        <f>2237.515*0.8</f>
        <v>1790.012</v>
      </c>
      <c r="C194" s="11" t="s">
        <v>1</v>
      </c>
    </row>
    <row r="195" spans="1:3" ht="12.75">
      <c r="A195" t="str">
        <f>'[2]Table 1'!B172&amp;": "&amp;'[2]Table 1'!C172</f>
        <v>490NTW00005: СОЕДИНИТ.КАБЕЛЬ ETHERNET ДВОЙНАЯ ВИТАЯ ПАРА В ЭКРАНЕ 2XRJ45, 5 М</v>
      </c>
      <c r="B195" s="4">
        <f>1296.865*0.8</f>
        <v>1037.492</v>
      </c>
      <c r="C195" s="11" t="s">
        <v>1</v>
      </c>
    </row>
    <row r="196" spans="1:3" ht="12.75">
      <c r="A196" t="str">
        <f>'[2]Table 1'!B173&amp;": "&amp;'[2]Table 1'!C173</f>
        <v>990NAD21130: КАБЕЛЬ ОТВЕТВЛЕНИЯ MODBUS+, ДЛЯ ЦЕНТРАЛЬНОГО СОЕДИНИТЕЛЯ, 6М</v>
      </c>
      <c r="B196" s="4">
        <f>1570.06*0.8</f>
        <v>1256.048</v>
      </c>
      <c r="C196" s="11" t="s">
        <v>1</v>
      </c>
    </row>
    <row r="197" spans="1:3" ht="12.75">
      <c r="A197" t="str">
        <f>'[2]Table 1'!B174&amp;": "&amp;'[2]Table 1'!C174</f>
        <v>31147: УСТР.ВВОД.РЕЗЕРВА INS250 4П</v>
      </c>
      <c r="B197" s="4">
        <f>31050*0.8</f>
        <v>24840</v>
      </c>
      <c r="C197" s="11" t="s">
        <v>1</v>
      </c>
    </row>
    <row r="198" spans="1:3" ht="12.75">
      <c r="A198" t="str">
        <f>'[2]Table 1'!B175&amp;": "&amp;'[2]Table 1'!C175</f>
        <v>ABL6TS06B: ТРАНСФОРМАТОР 230-400В 1X380В 63ВA</v>
      </c>
      <c r="B198" s="4">
        <f>2206.945*0.8</f>
        <v>1765.5560000000003</v>
      </c>
      <c r="C198" s="11" t="s">
        <v>1</v>
      </c>
    </row>
    <row r="199" spans="1:3" ht="12.75">
      <c r="A199" t="str">
        <f>'[2]Table 1'!B176&amp;": "&amp;'[2]Table 1'!C176</f>
        <v>ABL6TS06U: ТРАНСФОРМАТОР 230-400В 1X230В 63ВA</v>
      </c>
      <c r="B199" s="4">
        <f>2167.91*0.8</f>
        <v>1734.328</v>
      </c>
      <c r="C199" s="11" t="s">
        <v>1</v>
      </c>
    </row>
    <row r="200" spans="1:3" ht="12.75">
      <c r="A200" t="str">
        <f>'[2]Table 1'!B177&amp;": "&amp;'[2]Table 1'!C177</f>
        <v>ABL6TS100U: ТРАНСФОРМАТОР 230-400В 1X230В 1000ВA</v>
      </c>
      <c r="B200" s="4">
        <f>10249.305*0.8</f>
        <v>8199.444000000001</v>
      </c>
      <c r="C200" s="11" t="s">
        <v>1</v>
      </c>
    </row>
    <row r="201" spans="1:3" ht="12.75">
      <c r="A201" t="str">
        <f>'[2]Table 1'!B178&amp;": "&amp;'[2]Table 1'!C178</f>
        <v>ABL8FEQ24200: PHASEO ИСТОЧНИК ПИТАНИЯ 1-ФАЗНЫЙ 230-400/24В 20A</v>
      </c>
      <c r="B201" s="4">
        <f>31933.68*0.8</f>
        <v>25546.944000000003</v>
      </c>
      <c r="C201" s="11" t="s">
        <v>1</v>
      </c>
    </row>
    <row r="202" spans="1:3" ht="12.75">
      <c r="A202" t="str">
        <f>'[2]Table 1'!B179&amp;": "&amp;'[2]Table 1'!C179</f>
        <v>CR1F500M7: КОНТАКТОР С ЗАЩЕЛКОЙ СЕРИИ CR. 500А, 3Х ПОЛЮСНЫЙ,220В 50/60ГЦ, ВИНТОВОЙ ЗАЖИМ</v>
      </c>
      <c r="B202" s="4">
        <f>101197.5*0.8</f>
        <v>80958</v>
      </c>
      <c r="C202" s="11" t="s">
        <v>1</v>
      </c>
    </row>
    <row r="203" spans="1:3" ht="12.75">
      <c r="A203" t="str">
        <f>'[2]Table 1'!B180&amp;": "&amp;'[2]Table 1'!C180</f>
        <v>LC1DWK12M7: КОНТАКТОР ДЛЯ КОНДЕНСАТОРНЫХ БАТАРЕЙ 60КВАР 220В,50ГЦ</v>
      </c>
      <c r="B203" s="4">
        <f>9035.95*0.8</f>
        <v>7228.760000000001</v>
      </c>
      <c r="C203" s="11" t="s">
        <v>1</v>
      </c>
    </row>
    <row r="204" spans="1:3" ht="12.75">
      <c r="A204" t="str">
        <f>'[2]Table 1'!B181&amp;": "&amp;'[2]Table 1'!C181</f>
        <v>LV510434: АВТ. ВЫКЛ. EasyPact CVS 100B 25kA 3P MA50</v>
      </c>
      <c r="B204" s="4">
        <f>3967*0.8</f>
        <v>3173.6000000000004</v>
      </c>
      <c r="C204" s="11" t="s">
        <v>1</v>
      </c>
    </row>
    <row r="205" spans="1:3" ht="12.75">
      <c r="A205" t="str">
        <f>'[2]Table 1'!B182&amp;": "&amp;'[2]Table 1'!C182</f>
        <v>EZC100H3100: Выключатель 100A 3 F</v>
      </c>
      <c r="B205" s="4">
        <f>1812.5*0.8</f>
        <v>1450</v>
      </c>
      <c r="C205" s="11" t="s">
        <v>1</v>
      </c>
    </row>
    <row r="206" spans="1:3" ht="12.75">
      <c r="A206" t="str">
        <f>'[2]Table 1'!B183&amp;": "&amp;'[2]Table 1'!C183</f>
        <v>LC1F150M7: КОНТАКТОР F 3P,150 A,220V 50/60 ГЦ,</v>
      </c>
      <c r="B206" s="4">
        <f>16397.68*0.8</f>
        <v>13118.144</v>
      </c>
      <c r="C206" s="11" t="s">
        <v>1</v>
      </c>
    </row>
    <row r="207" spans="1:3" ht="12.75">
      <c r="A207" t="str">
        <f>'[2]Table 1'!B184&amp;": "&amp;'[2]Table 1'!C184</f>
        <v>EZC100N3025: АВТ. ВЫКЛ. EZC100 18 кА/380 В 3П3T 25 A</v>
      </c>
      <c r="B207" s="4">
        <f>1715.5*0.8</f>
        <v>1372.4</v>
      </c>
      <c r="C207" s="11" t="s">
        <v>1</v>
      </c>
    </row>
    <row r="208" spans="1:3" ht="12.75">
      <c r="A208" t="str">
        <f>'[2]Table 1'!B185&amp;": "&amp;'[2]Table 1'!C185</f>
        <v>LV429408: РАСЦЕП.МИН.НАПРЯЖ. MN 380/440В 50/60ГЦ</v>
      </c>
      <c r="B208" s="4">
        <f>2049.5*0.8</f>
        <v>1639.6000000000001</v>
      </c>
      <c r="C208" s="11" t="s">
        <v>1</v>
      </c>
    </row>
    <row r="209" spans="1:3" ht="12.75">
      <c r="A209" t="str">
        <f>'[2]Table 1'!B186&amp;": "&amp;'[2]Table 1'!C186</f>
        <v>LV429434: МОТОР-РЕД MT100/160 220/240В 50/60ГЦ</v>
      </c>
      <c r="B209" s="4">
        <f>9104.5*0.8</f>
        <v>7283.6</v>
      </c>
      <c r="C209" s="11" t="s">
        <v>1</v>
      </c>
    </row>
    <row r="210" spans="1:3" ht="12.75">
      <c r="A210" t="str">
        <f>'[2]Table 1'!B187&amp;": "&amp;'[2]Table 1'!C187</f>
        <v>LV431541: МОТОР-РЕД МT250 220/240В 50/60ГЦ</v>
      </c>
      <c r="B210" s="4">
        <f>13415*0.8</f>
        <v>10732</v>
      </c>
      <c r="C210" s="11" t="s">
        <v>1</v>
      </c>
    </row>
    <row r="211" spans="1:3" ht="12.75">
      <c r="A211" t="str">
        <f>'[2]Table 1'!B188&amp;": "&amp;'[2]Table 1'!C188</f>
        <v>GV2ME02: АВТОМАТИЧЕСКИЙ ВЫКЛЮЧАТЕЛЬ С КОМБИНИРОВАННЫМ   РАСЦЕПИТЕЛЕМ 0,16-0,25А</v>
      </c>
      <c r="B211" s="4">
        <f>1829.635*0.8</f>
        <v>1463.708</v>
      </c>
      <c r="C211" s="11" t="s">
        <v>1</v>
      </c>
    </row>
    <row r="212" spans="1:3" ht="12.75">
      <c r="A212" t="str">
        <f>'[2]Table 1'!B189&amp;": "&amp;'[2]Table 1'!C189</f>
        <v>GV2ME04: АВТОМАТИЧЕСКИЙ ВЫКЛЮЧАТЕЛЬ С КОМБИНИРОВАННЫМ   РАСЦЕПИТЕЛЕМ 0,40-0,63А</v>
      </c>
      <c r="B212" s="4">
        <f>1687.39*0.8</f>
        <v>1349.9120000000003</v>
      </c>
      <c r="C212" s="11" t="s">
        <v>1</v>
      </c>
    </row>
    <row r="213" spans="1:3" ht="12.75">
      <c r="A213" t="str">
        <f>'[2]Table 1'!B190&amp;": "&amp;'[2]Table 1'!C190</f>
        <v>LP1K09008MD: КОНТАКТОР.4Р(2НО + 2НЗ),AC1,20A,220V DС</v>
      </c>
      <c r="B213" s="4">
        <f>1181.87*0.8</f>
        <v>945.496</v>
      </c>
      <c r="C213" s="11" t="s">
        <v>1</v>
      </c>
    </row>
    <row r="214" spans="1:3" ht="12.75">
      <c r="A214" t="str">
        <f>'[2]Table 1'!B191&amp;": "&amp;'[2]Table 1'!C191</f>
        <v>LC1D09MD: КОНТАКТОР.3Р,9A,НО+НЗ,220V-,ОГРАН.</v>
      </c>
      <c r="B214" s="4">
        <f>2016.505*0.8</f>
        <v>1613.2040000000002</v>
      </c>
      <c r="C214" s="11" t="s">
        <v>1</v>
      </c>
    </row>
    <row r="215" spans="1:3" ht="12.75">
      <c r="A215" t="str">
        <f>'[2]Table 1'!B192&amp;": "&amp;'[2]Table 1'!C192</f>
        <v>LP5K0601BW3: КОНТАКТОР РЕВЕРС.3P,6А,НЗ,24V DC 1.8ВТ</v>
      </c>
      <c r="B215" s="4">
        <f>3185.13*0.8</f>
        <v>2548.1040000000003</v>
      </c>
      <c r="C215" s="11" t="s">
        <v>1</v>
      </c>
    </row>
    <row r="216" spans="1:3" ht="12.75">
      <c r="A216" t="str">
        <f>'[2]Table 1'!B193&amp;": "&amp;'[2]Table 1'!C193</f>
        <v>LP4K0610BW3: КОНТАКТОР.3P,6А,НО,24V   DC,ЗАЖИМ П/ВИНТ</v>
      </c>
      <c r="B216" s="4">
        <f>1156.77*0.8</f>
        <v>925.416</v>
      </c>
      <c r="C216" s="11" t="s">
        <v>1</v>
      </c>
    </row>
    <row r="217" spans="1:3" ht="12.75">
      <c r="A217" t="str">
        <f>'[2]Table 1'!B194&amp;": "&amp;'[2]Table 1'!C194</f>
        <v>LC1E3210B5: КОНТАКТОР TVS 1НО 32А 400В AC3 24В 50ГЦ</v>
      </c>
      <c r="B217" s="4">
        <f>525.76*0.8</f>
        <v>420.608</v>
      </c>
      <c r="C217" s="11" t="s">
        <v>1</v>
      </c>
    </row>
    <row r="218" spans="1:3" ht="12.75">
      <c r="A218" t="str">
        <f>'[2]Table 1'!B195&amp;": "&amp;'[2]Table 1'!C195</f>
        <v>LC1K1210B7: КОНТАКТОР K 3P,12 A,НО,24V 50/60 ГЦ,ЗАЖИМ ПОД ВИНТ</v>
      </c>
      <c r="B218" s="4">
        <f>975.475*0.8</f>
        <v>780.3800000000001</v>
      </c>
      <c r="C218" s="11" t="s">
        <v>1</v>
      </c>
    </row>
    <row r="219" spans="1:3" ht="12.75">
      <c r="A219" t="str">
        <f>'[2]Table 1'!B196&amp;": "&amp;'[2]Table 1'!C196</f>
        <v>LA4KC1B: ДИОД Z DC 12-24V</v>
      </c>
      <c r="B219" s="4">
        <f>368.855*0.8</f>
        <v>295.084</v>
      </c>
      <c r="C219" s="11" t="s">
        <v>1</v>
      </c>
    </row>
    <row r="220" spans="1:3" ht="12.75">
      <c r="A220" t="str">
        <f>'[2]Table 1'!B197&amp;": "&amp;'[2]Table 1'!C197</f>
        <v>LC1D09M7: КОНТАКТОР.3Р,9A,НО+НЗ,220V50ГЦ.</v>
      </c>
      <c r="B220" s="4">
        <f>1068.915*0.8</f>
        <v>855.1320000000001</v>
      </c>
      <c r="C220" s="11" t="s">
        <v>1</v>
      </c>
    </row>
    <row r="221" spans="1:3" ht="12.75">
      <c r="A221" t="str">
        <f>'[2]Table 1'!B198&amp;": "&amp;'[2]Table 1'!C198</f>
        <v>LC1E0910M5: КОНТАКТОР E 1НО 9А 400В AC3 220В 50ГЦ</v>
      </c>
      <c r="B221" s="4">
        <f>195.485*0.8</f>
        <v>156.38800000000003</v>
      </c>
      <c r="C221" s="11" t="s">
        <v>1</v>
      </c>
    </row>
    <row r="222" spans="1:3" ht="12.75">
      <c r="A222" t="str">
        <f>'[2]Table 1'!B199&amp;": "&amp;'[2]Table 1'!C199</f>
        <v>LC1D18M7: КОНТАКТОР.3Р,18A,НО+НЗ,230V50ГЦ.ПРУЖ.</v>
      </c>
      <c r="B222" s="4">
        <f>1862.41*0.8</f>
        <v>1489.928</v>
      </c>
      <c r="C222" s="11" t="s">
        <v>1</v>
      </c>
    </row>
    <row r="223" spans="1:3" ht="12.75">
      <c r="A223" t="str">
        <f>'[2]Table 1'!B200&amp;": "&amp;'[2]Table 1'!C200</f>
        <v>LC1E0610M7: КОНТАКТОР E 1НО 6А 400В AC3 220В 50/60ГЦ</v>
      </c>
      <c r="B223" s="4">
        <f>199.045*0.8</f>
        <v>159.236</v>
      </c>
      <c r="C223" s="11" t="s">
        <v>1</v>
      </c>
    </row>
    <row r="224" spans="1:3" ht="12.75">
      <c r="A224" t="str">
        <f>'[2]Table 1'!B201&amp;": "&amp;'[2]Table 1'!C201</f>
        <v>LV429070: 3П3T MICR.2.2 100A РАСЦЕП. NSX100/250</v>
      </c>
      <c r="B224" s="4">
        <f>8227*0.8</f>
        <v>6581.6</v>
      </c>
      <c r="C224" s="11" t="s">
        <v>1</v>
      </c>
    </row>
    <row r="225" spans="1:3" ht="12.75">
      <c r="A225" t="str">
        <f>'[2]Table 1'!B202&amp;": "&amp;'[2]Table 1'!C202</f>
        <v>LV429408: РАСЦЕП.МИН.НАПРЯЖ. MN 380/440В 50/60ГЦ</v>
      </c>
      <c r="B225" s="4">
        <f>2049.5*0.8</f>
        <v>1639.6000000000001</v>
      </c>
      <c r="C225" s="11" t="s">
        <v>1</v>
      </c>
    </row>
    <row r="226" spans="1:3" ht="12.75">
      <c r="A226" t="str">
        <f>'[2]Table 1'!B203&amp;": "&amp;'[2]Table 1'!C203</f>
        <v>TSXDEY32D2K: 32 ДИСКР.ВХ. =24В, ТИП 1, TELEFAST</v>
      </c>
      <c r="B226" s="4">
        <f>12733.605*0.8</f>
        <v>10186.884</v>
      </c>
      <c r="C226" s="11" t="s">
        <v>1</v>
      </c>
    </row>
    <row r="227" spans="1:3" ht="12.75">
      <c r="A227" t="str">
        <f>'[2]Table 1'!B204&amp;": "&amp;'[2]Table 1'!C204</f>
        <v>170ADO34000: MOMENTUM ДИСКРЕТН., 16 ТРАНЗИСТ. ВЫХ., 0.5A (2X8), =24В</v>
      </c>
      <c r="B227" s="4">
        <f>9270.315*0.8</f>
        <v>7416.252</v>
      </c>
      <c r="C227" s="11" t="s">
        <v>1</v>
      </c>
    </row>
    <row r="228" spans="1:3" ht="12.75">
      <c r="A228" t="str">
        <f>'[2]Table 1'!B205&amp;": "&amp;'[2]Table 1'!C205</f>
        <v>TSXAEY800: 8 АНАЛОГ.ВХ., ТОК, НАПРЯЖЕНИЕ, 12 БИТ,
1 СОЕДИНИТЕЛЬ SUB-D, ОБЩ.ТОЧКА</v>
      </c>
      <c r="B228" s="4">
        <f>21811.545*0.8</f>
        <v>17449.236</v>
      </c>
      <c r="C228" s="11" t="s">
        <v>1</v>
      </c>
    </row>
    <row r="229" spans="1:3" ht="12.75">
      <c r="A229" t="str">
        <f>'[2]Table 1'!B206&amp;": "&amp;'[2]Table 1'!C206</f>
        <v>TSXDEY08D2: 8 ДИСКР.ВХ. =24В, ТИП 2, КЛЕММНИК</v>
      </c>
      <c r="B229" s="4">
        <f>4937.555*0.8</f>
        <v>3950.0440000000003</v>
      </c>
      <c r="C229" s="11" t="s">
        <v>1</v>
      </c>
    </row>
    <row r="230" spans="1:3" ht="12.75">
      <c r="A230" t="str">
        <f>'[2]Table 1'!B207&amp;": "&amp;'[2]Table 1'!C207</f>
        <v>170ADI35000: MOMENTUM ДИСКРЕТН., 32 ВХ. (2X16), =24В</v>
      </c>
      <c r="B230" s="4">
        <f>9736.595*0.8</f>
        <v>7789.276</v>
      </c>
      <c r="C230" s="11" t="s">
        <v>1</v>
      </c>
    </row>
    <row r="231" spans="1:3" ht="12.75">
      <c r="A231" t="str">
        <f>'[2]Table 1'!B208&amp;": "&amp;'[2]Table 1'!C208</f>
        <v>170PNT11020: КОММУНИКАЦ.АДАПТЕР MOMENTUM, MODBUS+, БЕЗ РЕЗЕРВ., IEC FORMAT</v>
      </c>
      <c r="B231" s="4">
        <f>8026.91*0.8</f>
        <v>6421.528</v>
      </c>
      <c r="C231" s="11" t="s">
        <v>1</v>
      </c>
    </row>
    <row r="232" spans="1:3" ht="12.75">
      <c r="A232" t="str">
        <f>'[2]Table 1'!B209&amp;": "&amp;'[2]Table 1'!C209</f>
        <v>170ADM37010: MOMENTUM ДИСКРЕТН., 16 ВХ. / 8 ТРАНЗИСТ.ВЫХ., 2.0A (2X4), =24В</v>
      </c>
      <c r="B232" s="4">
        <f>14254.865*0.8</f>
        <v>11403.892</v>
      </c>
      <c r="C232" s="11" t="s">
        <v>1</v>
      </c>
    </row>
    <row r="233" spans="1:3" ht="12.75">
      <c r="A233" t="str">
        <f>'[2]Table 1'!B210&amp;": "&amp;'[2]Table 1'!C210</f>
        <v>170FNT11001: КОММУНИКАЦ.АДАПТЕР MOMENTUM, FIPIO ДЛЯ TSX57 PREMIUM</v>
      </c>
      <c r="B233" s="4">
        <f>10147.16*0.8</f>
        <v>8117.728</v>
      </c>
      <c r="C233" s="11" t="s">
        <v>1</v>
      </c>
    </row>
    <row r="234" spans="1:3" ht="12.75">
      <c r="A234" t="str">
        <f>'[2]Table 1'!B211&amp;": "&amp;'[2]Table 1'!C211</f>
        <v>TSXDEY16FK: 16 ДИСКР.ВХ. =24В, ТИП 1, TELEFAST, БЫСТРЫЙ</v>
      </c>
      <c r="B234" s="4">
        <f>9033.755*0.8</f>
        <v>7227.004</v>
      </c>
      <c r="C234" s="11" t="s">
        <v>1</v>
      </c>
    </row>
    <row r="235" spans="1:3" ht="12.75">
      <c r="A235" t="str">
        <f>'[2]Table 1'!B212&amp;": "&amp;'[2]Table 1'!C212</f>
        <v>170INT11000: КОММУНИКАЦ.АДАПТЕР MOMENTUM, INTERBUS SUPI 2 (I/O BUS) E-CABLE</v>
      </c>
      <c r="B235" s="4">
        <f>5439.95*0.8</f>
        <v>4351.96</v>
      </c>
      <c r="C235" s="11" t="s">
        <v>1</v>
      </c>
    </row>
    <row r="236" spans="1:3" ht="12.75">
      <c r="A236" t="str">
        <f>'[2]Table 1'!B213&amp;": "&amp;'[2]Table 1'!C213</f>
        <v>170PNT11020: КОММУНИКАЦ.АДАПТЕР MOMENTUM, MODBUS+</v>
      </c>
      <c r="B236" s="4">
        <f>8026.91*0.8</f>
        <v>6421.528</v>
      </c>
      <c r="C236" s="11" t="s">
        <v>1</v>
      </c>
    </row>
    <row r="237" spans="1:3" ht="12.75">
      <c r="A237" t="str">
        <f>'[2]Table 1'!B214&amp;": "&amp;'[2]Table 1'!C214</f>
        <v>VVD0: ТРЕХ ГЛАВНЫЙ/АВАРИЙНЫЙ ВЫКЛЮЧАТЕЛЬ-РАЗЪЕДИНИТЕЛЬ УСТАНОВКА В ЭЛЕКТРОШКАФ 25 А</v>
      </c>
      <c r="B237" s="4">
        <f>994.305*0.8</f>
        <v>795.444</v>
      </c>
      <c r="C237" s="11" t="s">
        <v>1</v>
      </c>
    </row>
    <row r="238" spans="1:3" ht="12.75">
      <c r="A238" t="str">
        <f>'[2]Table 1'!B215&amp;": "&amp;'[2]Table 1'!C215</f>
        <v>LV429337: СТАНД.ПОВОРОТ.ЧЕРН. РУКОЯТКА (NSX100/250)</v>
      </c>
      <c r="B238" s="4">
        <f>2117.5*0.8</f>
        <v>1694</v>
      </c>
      <c r="C238" s="11" t="s">
        <v>1</v>
      </c>
    </row>
    <row r="239" spans="1:3" ht="12.75">
      <c r="A239" t="str">
        <f>'[2]Table 1'!B216&amp;": "&amp;'[2]Table 1'!C216</f>
        <v>EZAROTDS: СТАНДАРТНАЯ ПОВОРОТНАЯ РУКОЯТКА EZC100</v>
      </c>
      <c r="B239" s="4">
        <f>1066.5*0.8</f>
        <v>853.2</v>
      </c>
      <c r="C239" s="11" t="s">
        <v>1</v>
      </c>
    </row>
    <row r="240" spans="1:3" ht="12.75">
      <c r="A240" t="str">
        <f>'[2]Table 1'!B217&amp;": "&amp;'[2]Table 1'!C217</f>
        <v>LA9D0902: БЛОКИРОВКА ДЛЯ 3P РЕВЕРСИВНОГО КОНТАКТОРА LC1/LP1 D09/D12/D18/D25/D32/D38</v>
      </c>
      <c r="B240" s="4">
        <f>682.625*0.8</f>
        <v>546.1</v>
      </c>
      <c r="C240" s="11" t="s">
        <v>1</v>
      </c>
    </row>
    <row r="241" spans="1:3" ht="12.75">
      <c r="A241" t="str">
        <f>'[2]Table 1'!B218&amp;": "&amp;'[2]Table 1'!C218</f>
        <v>K1F006ALH: КУЛАЧКОВЫЙ ПЕРЕК. 12А 2 ПОЗИЦИИ</v>
      </c>
      <c r="B241" s="4">
        <f>678.295*0.8</f>
        <v>542.636</v>
      </c>
      <c r="C241" s="11" t="s">
        <v>1</v>
      </c>
    </row>
    <row r="242" spans="1:3" ht="12.75">
      <c r="A242" t="str">
        <f>'[2]Table 1'!B219&amp;": "&amp;'[2]Table 1'!C219</f>
        <v>K1F013ULH: КУЛАЧКОВЫЙ ПЕРЕК. 12А 2 ПОЗИЦИИ</v>
      </c>
      <c r="B242" s="4">
        <f>1117.825*0.8</f>
        <v>894.2600000000001</v>
      </c>
      <c r="C242" s="11" t="s">
        <v>1</v>
      </c>
    </row>
    <row r="243" spans="1:3" ht="12.75">
      <c r="A243" t="str">
        <f>'[2]Table 1'!B220&amp;": "&amp;'[2]Table 1'!C220</f>
        <v>K1D004NLH: КУЛАЧКОВЫЙ ПЕРЕК. 12А 4 ПОЗИЦИИ</v>
      </c>
      <c r="B243" s="4">
        <f>561.51*0.8</f>
        <v>449.208</v>
      </c>
      <c r="C243" s="11" t="s">
        <v>1</v>
      </c>
    </row>
    <row r="244" spans="1:3" ht="12.75">
      <c r="A244" t="str">
        <f>'[2]Table 1'!B221&amp;": "&amp;'[2]Table 1'!C221</f>
        <v>KZ65: УПЛОТНИТЕЛЬ РУЧКИ УПР. 45?45ММ (5ШТ)</v>
      </c>
      <c r="B244" s="4">
        <f>331.9*0.8</f>
        <v>265.52</v>
      </c>
      <c r="C244" s="11" t="s">
        <v>1</v>
      </c>
    </row>
    <row r="245" spans="1:3" ht="12.75">
      <c r="A245" t="str">
        <f>'[2]Table 1'!B222&amp;": "&amp;'[2]Table 1'!C222</f>
        <v>K2D012U: КУЛАЧКОВЫЙ ПЕРЕК. 22ММ 20А 2 ПОЗИЦИИ</v>
      </c>
      <c r="B245" s="4">
        <f>895*0.8</f>
        <v>716</v>
      </c>
      <c r="C245" s="11" t="s">
        <v>1</v>
      </c>
    </row>
    <row r="246" spans="1:3" ht="12.75">
      <c r="A246" t="str">
        <f>'[2]Table 1'!B223&amp;": "&amp;'[2]Table 1'!C223</f>
        <v>K1B006T: К1 КОНТАКТНЫЙ БЛОК</v>
      </c>
      <c r="B246" s="4">
        <f>427.405*0.8</f>
        <v>341.924</v>
      </c>
      <c r="C246" s="11" t="s">
        <v>1</v>
      </c>
    </row>
    <row r="247" spans="1:3" ht="12.75">
      <c r="A247" t="str">
        <f>'[2]Table 1'!B224&amp;": "&amp;'[2]Table 1'!C224</f>
        <v>K1B002NLH: КУЛАЧКОВЫЙ ПЕРЕКЛ. 12А 2 ПОЗИЦИИ K1B002NLH</v>
      </c>
      <c r="B247" s="4">
        <f>485.755*0.8</f>
        <v>388.60400000000004</v>
      </c>
      <c r="C247" s="11" t="s">
        <v>1</v>
      </c>
    </row>
    <row r="248" spans="1:3" ht="12.75">
      <c r="A248" t="str">
        <f>'[2]Table 1'!B225&amp;": "&amp;'[2]Table 1'!C225</f>
        <v>K10D012UCH: КУЛАЧКОВЫЙ ВЫКЛ 10А 2 ПОЗИЦИИ K10D012UCH</v>
      </c>
      <c r="B248" s="4">
        <f>810.485*0.8</f>
        <v>648.388</v>
      </c>
      <c r="C248" s="11" t="s">
        <v>1</v>
      </c>
    </row>
    <row r="249" spans="1:3" ht="12.75">
      <c r="A249" t="str">
        <f>'[2]Table 1'!B226&amp;": "&amp;'[2]Table 1'!C226</f>
        <v>25051DEK: Перекл. на 2 фикс. полож. I-O станд. ручка 1НО+1НЗ</v>
      </c>
      <c r="B249" s="4">
        <f>91.325*0.8</f>
        <v>73.06</v>
      </c>
      <c r="C249" s="11" t="s">
        <v>1</v>
      </c>
    </row>
    <row r="250" spans="1:3" ht="12.75">
      <c r="A250" t="str">
        <f>'[2]Table 1'!B227&amp;": "&amp;'[2]Table 1'!C227</f>
        <v>25052DEK: Перекл. на 3 фикс. полож. I-O-II станд. ручка 1НО+1</v>
      </c>
      <c r="B250" s="4">
        <f>88.14*0.8</f>
        <v>70.512</v>
      </c>
      <c r="C250" s="11" t="s">
        <v>1</v>
      </c>
    </row>
    <row r="251" spans="1:3" ht="12.75">
      <c r="A251" t="str">
        <f>'[2]Table 1'!B228&amp;": "&amp;'[2]Table 1'!C228</f>
        <v>140CRP93200: ПРОЦЕССОР УДАЛЕННОГО В/В RIO, ДВОЙНОЙ КАБЕЛЬ</v>
      </c>
      <c r="B251" s="4">
        <f>51004.035*0.8</f>
        <v>40803.228</v>
      </c>
      <c r="C251" s="11" t="s">
        <v>1</v>
      </c>
    </row>
    <row r="252" spans="1:3" ht="12.75">
      <c r="A252" t="str">
        <f>'[2]Table 1'!B229&amp;": "&amp;'[2]Table 1'!C229</f>
        <v>140NOE77111: МОДУЛЬ FACTORYCAST HMI КОНТРОЛЛЕРА TSX QUANTUM</v>
      </c>
      <c r="B252" s="4">
        <f>67717.88*0.8</f>
        <v>54174.304000000004</v>
      </c>
      <c r="C252" s="11" t="s">
        <v>1</v>
      </c>
    </row>
    <row r="253" spans="1:3" ht="12.75">
      <c r="A253" t="str">
        <f>'[2]Table 1'!B230&amp;": "&amp;'[2]Table 1'!C230</f>
        <v>140CHS32000: НАБОР СОЕДИНИТЕЛЕЙ ГОРЯЧЕГО РЕЗЕРВА (ВХ. В КОМПЛЕКТ)</v>
      </c>
      <c r="B253" s="4">
        <f>22728.53*0.8</f>
        <v>18182.824</v>
      </c>
      <c r="C253" s="11" t="s">
        <v>1</v>
      </c>
    </row>
    <row r="254" spans="1:3" ht="12.75">
      <c r="A254" t="str">
        <f>'[2]Table 1'!B231&amp;": "&amp;'[2]Table 1'!C231</f>
        <v>140CPS11420: МОДУЛЬ ПИТАНИЯ, ~120/230В, 11A, АВТОНОМ. ИЛИ СУММ.</v>
      </c>
      <c r="B254" s="4">
        <f>31748.97*0.8</f>
        <v>25399.176000000003</v>
      </c>
      <c r="C254" s="11" t="s">
        <v>1</v>
      </c>
    </row>
    <row r="255" spans="1:3" ht="12.75">
      <c r="A255" t="str">
        <f>'[2]Table 1'!B232&amp;": "&amp;'[2]Table 1'!C232</f>
        <v>140CPS22400: МОДУЛЬ ПИТАНИЯ, =24В,8A,АВТОНОМ. ИЛИ РЕЗЕРВ</v>
      </c>
      <c r="B255" s="4">
        <f>44751.445*0.8</f>
        <v>35801.156</v>
      </c>
      <c r="C255" s="11" t="s">
        <v>1</v>
      </c>
    </row>
    <row r="256" spans="1:3" ht="12.75">
      <c r="A256" t="str">
        <f>'[2]Table 1'!B233&amp;": "&amp;'[2]Table 1'!C233</f>
        <v>140CPU31110: ЦПУ QUANTUM ОЗУ 400K, 20K РЕГ.,1XMBUS/1ХMBUS+</v>
      </c>
      <c r="B256" s="4">
        <f>108260.25*0.8</f>
        <v>86608.20000000001</v>
      </c>
      <c r="C256" s="11" t="s">
        <v>1</v>
      </c>
    </row>
    <row r="257" spans="1:3" ht="12.75">
      <c r="A257" t="str">
        <f>'[2]Table 1'!B234&amp;": "&amp;'[2]Table 1'!C234</f>
        <v>140ACO02000: АНАЛОГ. ВЫХ., 4 КАНАЛА, 4-20MA, 1-5В, 12 БИТ, 500В РАЗВ.</v>
      </c>
      <c r="B257" s="4">
        <f>36399.95*0.8</f>
        <v>29119.96</v>
      </c>
      <c r="C257" s="11" t="s">
        <v>1</v>
      </c>
    </row>
    <row r="258" spans="1:3" ht="12.75">
      <c r="A258" t="str">
        <f>'[2]Table 1'!B235&amp;": "&amp;'[2]Table 1'!C235</f>
        <v>140DAO84210: ДИСКРЕТН. ВЫХ. ~100-230В, 16 (4X4), 4A</v>
      </c>
      <c r="B258" s="4">
        <f>17166.985*0.8</f>
        <v>13733.588000000002</v>
      </c>
      <c r="C258" s="11" t="s">
        <v>1</v>
      </c>
    </row>
    <row r="259" spans="1:3" ht="12.75">
      <c r="A259" t="str">
        <f>'[2]Table 1'!B236&amp;": "&amp;'[2]Table 1'!C236</f>
        <v>140DDI35310: ДИСКРЕТН. ВХ. =24В, 32 (4X8), ИСТ.</v>
      </c>
      <c r="B259" s="4">
        <f>19111.235*0.8</f>
        <v>15288.988000000001</v>
      </c>
      <c r="C259" s="11" t="s">
        <v>1</v>
      </c>
    </row>
    <row r="260" spans="1:3" ht="12.75">
      <c r="A260" t="str">
        <f>'[2]Table 1'!B237&amp;": "&amp;'[2]Table 1'!C237</f>
        <v>140XBE10000: МОДУЛЬ РАСШИРЕНИЯ ШАССИ</v>
      </c>
      <c r="B260" s="4">
        <f>12450.13*0.8</f>
        <v>9960.104</v>
      </c>
      <c r="C260" s="11" t="s">
        <v>1</v>
      </c>
    </row>
    <row r="261" spans="1:3" ht="12.75">
      <c r="A261" t="str">
        <f>'[2]Table 1'!B238&amp;": "&amp;'[2]Table 1'!C238</f>
        <v>140DDI35300: ДИСКРЕТН. ВХ. =24В, 32 (4X8), ПР-К</v>
      </c>
      <c r="B261" s="4">
        <f>18205.385*0.8</f>
        <v>14564.307999999999</v>
      </c>
      <c r="C261" s="11" t="s">
        <v>1</v>
      </c>
    </row>
    <row r="262" spans="1:3" ht="12.75">
      <c r="A262" t="str">
        <f>'[2]Table 1'!B239&amp;": "&amp;'[2]Table 1'!C239</f>
        <v>140DDO35300: ДИСКРЕТН. ВЫХ. =24В, 32 (4X8)</v>
      </c>
      <c r="B262" s="4">
        <f>21840.06*0.8</f>
        <v>17472.048000000003</v>
      </c>
      <c r="C262" s="11" t="s">
        <v>1</v>
      </c>
    </row>
    <row r="263" spans="1:3" ht="12.75">
      <c r="A263" t="str">
        <f>'[2]Table 1'!B240&amp;": "&amp;'[2]Table 1'!C240</f>
        <v>140ARI03010: АНАЛОГ. ВХ., 8 ТСП 2/3/4 ПРОВ., PT100- 1000,NI100-1000, 13 БИТ</v>
      </c>
      <c r="B263" s="4">
        <f>57554.685*0.8</f>
        <v>46043.748</v>
      </c>
      <c r="C263" s="11" t="s">
        <v>1</v>
      </c>
    </row>
    <row r="264" spans="1:3" ht="12.75">
      <c r="A264" t="str">
        <f>'[2]Table 1'!B241&amp;": "&amp;'[2]Table 1'!C241</f>
        <v>140XCP50000: ПУСТОЙ МОДУЛЬ (БЕЗ КЛЕММНОЙ КОЛОДКИ)</v>
      </c>
      <c r="B264" s="4">
        <f>1272.62*0.8</f>
        <v>1018.096</v>
      </c>
      <c r="C264" s="11" t="s">
        <v>1</v>
      </c>
    </row>
    <row r="265" spans="1:3" ht="12.75">
      <c r="A265" t="str">
        <f>'[2]Table 1'!B242&amp;": "&amp;'[2]Table 1'!C242</f>
        <v>170XTS00100: КЛЕММНИК ПОД ВИНТ ДЛЯ РАЗВОДКИ ПРОВОДОВ, 2.5MM2, 18 КЛЕММ /3ШТ./</v>
      </c>
      <c r="B265" s="4">
        <f>1663.26*0.8</f>
        <v>1330.6080000000002</v>
      </c>
      <c r="C265" s="11" t="s">
        <v>1</v>
      </c>
    </row>
    <row r="266" spans="1:3" ht="12.75">
      <c r="A266" t="str">
        <f>'[2]Table 1'!B243&amp;": "&amp;'[2]Table 1'!C243</f>
        <v>TSXCAPS15: ШТЕКЕР S15 (ДЛЯ SUB-D15) /ЦЕНА ЗА 2 ШТ./</v>
      </c>
      <c r="B266" s="4">
        <f>1120.82*0.8</f>
        <v>896.656</v>
      </c>
      <c r="C266" s="11" t="s">
        <v>1</v>
      </c>
    </row>
    <row r="267" spans="1:3" ht="12.75">
      <c r="A267" t="str">
        <f>'[2]Table 1'!B244&amp;": "&amp;'[2]Table 1'!C244</f>
        <v>TSXCPP110: PCMCIA КАРТА МАСТЕРА ШИНЫ CANOPEN ДЛЯ TSX37/57 (V3)</v>
      </c>
      <c r="B267" s="4">
        <f>23003.18*0.8</f>
        <v>18402.544</v>
      </c>
      <c r="C267" s="11" t="s">
        <v>1</v>
      </c>
    </row>
    <row r="268" spans="1:3" ht="12.75">
      <c r="A268" t="str">
        <f>'[2]Table 1'!B245&amp;": "&amp;'[2]Table 1'!C245</f>
        <v>TSXETG1000: ИНТЕЛЛЕКТУАЛЬНЫЙ ШЛЮЗ MODBUS &lt;-&gt; ETHERNET С WEB-СЕРВЕРОМ</v>
      </c>
      <c r="B268" s="4">
        <f>32997.2*0.8</f>
        <v>26397.76</v>
      </c>
      <c r="C268" s="11" t="s">
        <v>1</v>
      </c>
    </row>
    <row r="269" spans="1:3" ht="12.75">
      <c r="A269" t="str">
        <f>'[2]Table 1'!B246&amp;": "&amp;'[2]Table 1'!C246</f>
        <v>140NOM21100: ГОЛОВНОЙ ПРОЦЕССОР MODBUS+, 1 КАНАЛ</v>
      </c>
      <c r="B269" s="4">
        <f>36399.95*0.8</f>
        <v>29119.96</v>
      </c>
      <c r="C269" s="11" t="s">
        <v>1</v>
      </c>
    </row>
    <row r="270" spans="1:3" ht="12.75">
      <c r="A270" t="str">
        <f>'[2]Table 1'!B247&amp;": "&amp;'[2]Table 1'!C247</f>
        <v>140AVI03000: АНАЛОГ. ВХ., 8 БИПОЛ. (8X1) 0-20MA, +/- 20MA,+/-10V, 16 БИТ</v>
      </c>
      <c r="B270" s="4">
        <f>44011.1*0.8</f>
        <v>35208.88</v>
      </c>
      <c r="C270" s="11" t="s">
        <v>1</v>
      </c>
    </row>
    <row r="271" spans="1:3" ht="12.75">
      <c r="A271" t="str">
        <f>'[2]Table 1'!B248&amp;": "&amp;'[2]Table 1'!C248</f>
        <v>140ACO13000: АНАЛОГ. ВЫХ., 8 КАНАЛОВ, 0/4..20/25MA, 13 БИТ, 500В РАЗВ.</v>
      </c>
      <c r="B271" s="4">
        <f>54914.66*0.8</f>
        <v>43931.728</v>
      </c>
      <c r="C271" s="11" t="s">
        <v>1</v>
      </c>
    </row>
    <row r="272" spans="1:3" ht="12.75">
      <c r="A272" t="str">
        <f>'[2]Table 1'!B249&amp;": "&amp;'[2]Table 1'!C249</f>
        <v>140ARI03010: АНАЛОГ. ВХ., 8 ТСП 2/3/4 ПРОВ., PT100- 1000,NI100-1000, 13 БИТ</v>
      </c>
      <c r="B272" s="4">
        <f>57554.685*0.8</f>
        <v>46043.748</v>
      </c>
      <c r="C272" s="11" t="s">
        <v>1</v>
      </c>
    </row>
    <row r="273" spans="1:3" ht="12.75">
      <c r="A273" t="str">
        <f>'[2]Table 1'!B250&amp;": "&amp;'[2]Table 1'!C250</f>
        <v>140DDI36400: ДИСКРЕТН. ВХ. =24В, 96 (6X16), ПР-К</v>
      </c>
      <c r="B273" s="4">
        <f>31605.575*0.8</f>
        <v>25284.460000000003</v>
      </c>
      <c r="C273" s="11" t="s">
        <v>1</v>
      </c>
    </row>
    <row r="274" spans="1:3" ht="12.75">
      <c r="A274" t="str">
        <f>'[2]Table 1'!B251&amp;": "&amp;'[2]Table 1'!C251</f>
        <v>140DDO84300: ДИСКРЕТН. ВЫХ. 10-60V DC, 16 (2X8), 2A, ИСТ.</v>
      </c>
      <c r="B274" s="4">
        <f>20193.85*0.8</f>
        <v>16155.08</v>
      </c>
      <c r="C274" s="11" t="s">
        <v>1</v>
      </c>
    </row>
    <row r="275" spans="1:3" ht="12.75">
      <c r="A275" t="str">
        <f>'[2]Table 1'!B252&amp;": "&amp;'[2]Table 1'!C252</f>
        <v>140CPS11100: МОДУЛЬ ПИТАНИЯ, ~120/230В, 3A, АВТОНОМ.</v>
      </c>
      <c r="B275" s="4">
        <f>14559.89*0.8</f>
        <v>11647.912</v>
      </c>
      <c r="C275" s="11" t="s">
        <v>1</v>
      </c>
    </row>
    <row r="276" spans="1:3" ht="12.75">
      <c r="A276" t="str">
        <f>'[2]Table 1'!B253&amp;": "&amp;'[2]Table 1'!C253</f>
        <v>140CPS21400: МОДУЛЬ ПИТАНИЯ, =24В,8A,АВТОНОМ. ИЛИ СУММ.</v>
      </c>
      <c r="B276" s="4">
        <f>29108.96*0.8</f>
        <v>23287.168</v>
      </c>
      <c r="C276" s="11" t="s">
        <v>1</v>
      </c>
    </row>
    <row r="277" spans="1:3" ht="12.75">
      <c r="A277" t="str">
        <f>'[2]Table 1'!B254&amp;": "&amp;'[2]Table 1'!C254</f>
        <v>140XCP51000: ПУСТОЙ МОДУЛЬ (С ДВЕРЦЕЙ)</v>
      </c>
      <c r="B277" s="4">
        <f>1447.355*0.8</f>
        <v>1157.884</v>
      </c>
      <c r="C277" s="11" t="s">
        <v>1</v>
      </c>
    </row>
    <row r="278" spans="1:3" ht="12.75">
      <c r="A278" t="str">
        <f>'[2]Table 1'!B255&amp;": "&amp;'[2]Table 1'!C255</f>
        <v>140DDO35310: ДИСКРЕТН. ВЫХ. =24В, 32 (4X8), 0.5A, ПР-К</v>
      </c>
      <c r="B278" s="4">
        <f>22768.005*0.8</f>
        <v>18214.404000000002</v>
      </c>
      <c r="C278" s="11" t="s">
        <v>1</v>
      </c>
    </row>
    <row r="279" spans="1:3" ht="12.75">
      <c r="A279" t="str">
        <f>'[2]Table 1'!B256&amp;": "&amp;'[2]Table 1'!C256</f>
        <v>LA9FJ970: БЛОКИРОВКА КОНТАКТОРА F265(4),F330(4),F400(4),F500(4) ГОРИЗОНТАЛЬНОЙ УСТАНОВКИ</v>
      </c>
      <c r="B279" s="4">
        <f>935.735*0.8</f>
        <v>748.5880000000001</v>
      </c>
      <c r="C279" s="11" t="s">
        <v>1</v>
      </c>
    </row>
    <row r="280" spans="1:3" ht="12.75">
      <c r="A280" t="str">
        <f>'[2]Table 1'!B257&amp;": "&amp;'[2]Table 1'!C257</f>
        <v>LA9FK976: СИЛОВОЕ СОЕДИНЕНИЕ ДЛЯ 3P РЕВЕРСИВНОГО КОНТАКТОРА LC1 F500</v>
      </c>
      <c r="B280" s="4">
        <f>5707.855*0.8</f>
        <v>4566.284</v>
      </c>
      <c r="C280" s="11" t="s">
        <v>1</v>
      </c>
    </row>
    <row r="281" spans="1:3" ht="12.75">
      <c r="A281" t="str">
        <f>'[2]Table 1'!B258&amp;": "&amp;'[2]Table 1'!C258</f>
        <v>LAEM1: МЕХАНИЧЕСКИЕ БЛОКИРАТОРЫ TESYS E 6 65</v>
      </c>
      <c r="B281" s="4">
        <f>147.945*0.8</f>
        <v>118.356</v>
      </c>
      <c r="C281" s="11" t="s">
        <v>1</v>
      </c>
    </row>
    <row r="282" spans="1:3" ht="12.75">
      <c r="A282" t="str">
        <f>'[2]Table 1'!B259&amp;": "&amp;'[2]Table 1'!C259</f>
        <v>LUB12: СИЛОВ БЛОК 12А С КЛЕММНИКОМ ДОП КОНТ</v>
      </c>
      <c r="B282" s="4">
        <f>2242.95*0.8</f>
        <v>1794.36</v>
      </c>
      <c r="C282" s="11" t="s">
        <v>1</v>
      </c>
    </row>
    <row r="283" spans="1:3" ht="12.75">
      <c r="A283" t="str">
        <f>'[2]Table 1'!B260&amp;": "&amp;'[2]Table 1'!C260</f>
        <v>RMCV60BD: ПРЕОБРАЗОВАТЕЛЬ С ГАЛЬВАНИЧЕСКОЙ РАЗВЯЗКОЙ, ВХОДНОЙ ДИАПАЗОН 0-500В</v>
      </c>
      <c r="B283" s="4">
        <f>1843.685*0.8</f>
        <v>1474.948</v>
      </c>
      <c r="C283" s="11" t="s">
        <v>1</v>
      </c>
    </row>
    <row r="284" spans="1:3" ht="12.75">
      <c r="A284" t="str">
        <f>'[2]Table 1'!B261&amp;": "&amp;'[2]Table 1'!C261</f>
        <v>XCKD2110G11: КОНЦЕВОЙ ВЫКЛЮЧАТЕЛЬ 1НО1НЗ ВВОД PG11</v>
      </c>
      <c r="B284" s="4">
        <f>772.065*0.8</f>
        <v>617.652</v>
      </c>
      <c r="C284" s="11" t="s">
        <v>1</v>
      </c>
    </row>
    <row r="285" spans="1:3" ht="12.75">
      <c r="A285" t="str">
        <f>'[2]Table 1'!B262&amp;": "&amp;'[2]Table 1'!C262</f>
        <v>8936: РУЧКА С ЗАМКОМ + 2 КЛЮЧА 405, IP55</v>
      </c>
      <c r="B285" s="4">
        <f>1425.85*0.8</f>
        <v>1140.68</v>
      </c>
      <c r="C285" s="11" t="s">
        <v>1</v>
      </c>
    </row>
    <row r="286" spans="1:3" ht="12.75">
      <c r="A286" t="str">
        <f>'[2]Table 1'!B263&amp;": "&amp;'[2]Table 1'!C263</f>
        <v>NSYAEDL405S3D: ЗАМОК С КЛЮЧОМ 405 ДЛЯ S3D</v>
      </c>
      <c r="B286" s="4">
        <f>246.835*0.8</f>
        <v>197.46800000000002</v>
      </c>
      <c r="C286" s="11" t="s">
        <v>1</v>
      </c>
    </row>
    <row r="287" spans="1:3" ht="12.75">
      <c r="A287" t="str">
        <f>'[2]Table 1'!B264&amp;": "&amp;'[2]Table 1'!C264</f>
        <v>NSYAEDL455S3D: ЗАМОК С КЛЮЧОМ 455 ДЛЯ S3D</v>
      </c>
      <c r="B287" s="4">
        <f>271.235*0.8</f>
        <v>216.98800000000003</v>
      </c>
      <c r="C287" s="11" t="s">
        <v>1</v>
      </c>
    </row>
    <row r="288" spans="1:3" ht="12.75">
      <c r="A288" t="str">
        <f>'[2]Table 1'!B265&amp;": "&amp;'[2]Table 1'!C265</f>
        <v>NSYAEDL3113S3D: ЗАМОК С КЛЮЧОМ 3113А ДЛЯ S3D</v>
      </c>
      <c r="B288" s="4">
        <f>271.235*0.8</f>
        <v>216.98800000000003</v>
      </c>
      <c r="C288" s="11" t="s">
        <v>1</v>
      </c>
    </row>
    <row r="289" spans="1:3" ht="12.75">
      <c r="A289" t="str">
        <f>'[2]Table 1'!B266&amp;": "&amp;'[2]Table 1'!C266</f>
        <v>XCKN2110P20: КОНЦЕВОЙ ВЫКЛЮЧАТЕЛЬ МЕТАЛ ПЛУНЖЕР ДВУХПОЛЯРНЫЙ N/C+N/O</v>
      </c>
      <c r="B289" s="4">
        <f>317.64*0.8</f>
        <v>254.112</v>
      </c>
      <c r="C289" s="11" t="s">
        <v>1</v>
      </c>
    </row>
    <row r="290" spans="1:3" ht="12.75">
      <c r="A290" t="str">
        <f>'[2]Table 1'!B267&amp;": "&amp;'[2]Table 1'!C267</f>
        <v>NSYAEDL1242S3D: РУЧКА С КНОПКОЙ И ЗАМКОМ 1242Е ДЛЯ S3D</v>
      </c>
      <c r="B290" s="4">
        <f>271.235*0.8</f>
        <v>216.98800000000003</v>
      </c>
      <c r="C290" s="11" t="s">
        <v>1</v>
      </c>
    </row>
    <row r="291" spans="1:3" ht="12.75">
      <c r="A291" t="str">
        <f>'[2]Table 1'!B268&amp;": "&amp;'[2]Table 1'!C268</f>
        <v>NSYDCM20: ДВЕРНОЙ ВЫКЛЮЧАТЕЛЬ 10A</v>
      </c>
      <c r="B291" s="4">
        <f>1280.885*0.8</f>
        <v>1024.708</v>
      </c>
      <c r="C291" s="11" t="s">
        <v>1</v>
      </c>
    </row>
    <row r="292" spans="1:3" ht="12.75">
      <c r="A292" t="str">
        <f>'[2]Table 1'!B269&amp;": "&amp;'[2]Table 1'!C269</f>
        <v>NSYIN1242E1: ЦИЛИНДР. ЛИЧИНКА КЛЮЧ 1224Е</v>
      </c>
      <c r="B292" s="4">
        <f>688.9*0.8</f>
        <v>551.12</v>
      </c>
      <c r="C292" s="11" t="s">
        <v>1</v>
      </c>
    </row>
    <row r="293" spans="1:3" ht="12.75">
      <c r="A293" t="str">
        <f>'[2]Table 1'!B270&amp;": "&amp;'[2]Table 1'!C270</f>
        <v>NSYCAF291: СМЕННЫЙ СТАНД. ФИЛЬТР 212Х212 5 ШТ</v>
      </c>
      <c r="B293" s="4">
        <f>860.2*0.8</f>
        <v>688.1600000000001</v>
      </c>
      <c r="C293" s="11" t="s">
        <v>1</v>
      </c>
    </row>
    <row r="294" spans="1:3" ht="12.75">
      <c r="A294" t="str">
        <f>'[2]Table 1'!B271&amp;": "&amp;'[2]Table 1'!C271</f>
        <v>NSYCAF125: СМЕННЫЙ СТАНД. ФИЛЬТР 114Х114 5 ШТ</v>
      </c>
      <c r="B294" s="4">
        <f>487*0.8</f>
        <v>389.6</v>
      </c>
      <c r="C294" s="11" t="s">
        <v>1</v>
      </c>
    </row>
    <row r="295" spans="1:3" ht="12.75">
      <c r="A295" t="str">
        <f>'[2]Table 1'!B272&amp;": "&amp;'[2]Table 1'!C272</f>
        <v>NSYAEDRS3DPA6: РУЧКА С ЛИЧИНКОЙ</v>
      </c>
      <c r="B295" s="4">
        <f>181.285*0.8</f>
        <v>145.028</v>
      </c>
      <c r="C295" s="11" t="s">
        <v>1</v>
      </c>
    </row>
    <row r="296" spans="1:3" ht="12.75">
      <c r="A296" t="str">
        <f>'[2]Table 1'!B273&amp;": "&amp;'[2]Table 1'!C273</f>
        <v>NSYCAG223LPF: ВЫПУСКНАЯ РЕШЕТКА 223Х223 ЦВЕТ RAL7035</v>
      </c>
      <c r="B296" s="4">
        <f>1148.8*0.8</f>
        <v>919.04</v>
      </c>
      <c r="C296" s="11" t="s">
        <v>1</v>
      </c>
    </row>
    <row r="297" spans="1:3" ht="12.75">
      <c r="A297" t="str">
        <f>'[2]Table 1'!B274&amp;": "&amp;'[2]Table 1'!C274</f>
        <v>NSYCAF223: СМЕННЫЙ СТАНД. ФИЛЬТР 212Х212 5 ШТ</v>
      </c>
      <c r="B297" s="4">
        <f>938.27*0.8</f>
        <v>750.616</v>
      </c>
      <c r="C297" s="11" t="s">
        <v>1</v>
      </c>
    </row>
    <row r="298" spans="1:3" ht="12.75">
      <c r="A298" t="str">
        <f>'[2]Table 1'!B275&amp;": "&amp;'[2]Table 1'!C275</f>
        <v>ABL8MEM05040: PHASEO МОДУЛЬНЫЙ БЛОК ПИТАНИЯ 1- ФАЗНЫЙ ~100..240В И =120..250В/=5В 4A</v>
      </c>
      <c r="B298" s="4">
        <f>3059.865*0.8</f>
        <v>2447.892</v>
      </c>
      <c r="C298" s="11" t="s">
        <v>1</v>
      </c>
    </row>
    <row r="299" spans="1:3" ht="12.75">
      <c r="A299" t="str">
        <f>'[2]Table 1'!B276&amp;": "&amp;'[2]Table 1'!C276</f>
        <v>ABL8RPS24100: Блок питания универсал 1-фазный 24В 10А</v>
      </c>
      <c r="B299" s="4">
        <f>7789.005*0.8</f>
        <v>6231.204000000001</v>
      </c>
      <c r="C299" s="11" t="s">
        <v>1</v>
      </c>
    </row>
    <row r="300" spans="1:3" ht="12.75">
      <c r="A300" t="str">
        <f>'[2]Table 1'!B277&amp;": "&amp;'[2]Table 1'!C277</f>
        <v>ABL8RED24400: PHASEO МОДУЛЬ РЕЗЕРВИРОВАНИЯ ПИТАНИЯ 40A</v>
      </c>
      <c r="B300" s="4">
        <f>5721.485*0.8</f>
        <v>4577.188</v>
      </c>
      <c r="C300" s="11" t="s">
        <v>1</v>
      </c>
    </row>
    <row r="301" spans="1:3" ht="12.75">
      <c r="A301" t="str">
        <f>'[2]Table 1'!B278&amp;": "&amp;'[2]Table 1'!C278</f>
        <v>BMXDDO1612: 16 ВЫХОДОВ, ТРАНЗИСТОР, 0.5А, SINK</v>
      </c>
      <c r="B301" s="4">
        <f>5589.415*0.8</f>
        <v>4471.532</v>
      </c>
      <c r="C301" s="11" t="s">
        <v>1</v>
      </c>
    </row>
    <row r="302" spans="1:3" ht="12.75">
      <c r="A302" t="str">
        <f>'[2]Table 1'!B279&amp;": "&amp;'[2]Table 1'!C279</f>
        <v>AK5PC33: СЪЕМНЫЙ СИЛОВОЙ РАЗЪЕМ 32А,3Ф, ДЛИНА КАБЕЛЯ 250 ММ</v>
      </c>
      <c r="B302" s="4">
        <f>612.96*0.8</f>
        <v>490.36800000000005</v>
      </c>
      <c r="C302" s="11" t="s">
        <v>1</v>
      </c>
    </row>
    <row r="303" spans="1:3" ht="12.75">
      <c r="A303" t="str">
        <f>'[2]Table 1'!B280&amp;": "&amp;'[2]Table 1'!C280</f>
        <v>BMXFTB2010: КОННЕКТОР, 20 КЛЕМИМ, ВИНТ</v>
      </c>
      <c r="B303" s="4">
        <f>668.12*0.8</f>
        <v>534.496</v>
      </c>
      <c r="C303" s="11" t="s">
        <v>1</v>
      </c>
    </row>
    <row r="304" spans="1:3" ht="12.75">
      <c r="A304" t="str">
        <f>'[2]Table 1'!B281&amp;": "&amp;'[2]Table 1'!C281</f>
        <v>TM2AMO1HT: МОДУЛЬ АНАЛОГ 1ВЫХ 0-10В/4-20МА 12БИТ</v>
      </c>
      <c r="B304" s="4">
        <f>4327.38*0.8</f>
        <v>3461.9040000000005</v>
      </c>
      <c r="C304" s="11" t="s">
        <v>1</v>
      </c>
    </row>
    <row r="305" spans="1:3" ht="12.75">
      <c r="A305" t="str">
        <f>'[2]Table 1'!B282&amp;": "&amp;'[2]Table 1'!C282</f>
        <v>TM2DDO32TK: МОДУЛЬ РАСШИРЕНИЯ 32ВЫХ СТ, РАЗЪЕМ НЕ10</v>
      </c>
      <c r="B305" s="4">
        <f>6860.83*0.8</f>
        <v>5488.664000000001</v>
      </c>
      <c r="C305" s="11" t="s">
        <v>1</v>
      </c>
    </row>
    <row r="306" spans="1:3" ht="12.75">
      <c r="A306" t="str">
        <f>'[2]Table 1'!B283&amp;": "&amp;'[2]Table 1'!C283</f>
        <v>TM2DDI16DT: МОДУЛЬ РАСШИРЕНИЯ 16ВХ =24В КЛЕМ. БЛОК</v>
      </c>
      <c r="B306" s="4">
        <f>3799.91*0.8</f>
        <v>3039.928</v>
      </c>
      <c r="C306" s="11" t="s">
        <v>1</v>
      </c>
    </row>
    <row r="307" spans="1:3" ht="12.75">
      <c r="A307" t="str">
        <f>'[2]Table 1'!B284&amp;": "&amp;'[2]Table 1'!C284</f>
        <v>TM2DDI32DK: МОДУЛЬ РАСШИРЕНИЯ 32ВХ =24В РАЗЪЕМ НЕ10</v>
      </c>
      <c r="B307" s="4">
        <f>5073.755*0.8</f>
        <v>4059.0040000000004</v>
      </c>
      <c r="C307" s="11" t="s">
        <v>1</v>
      </c>
    </row>
    <row r="308" spans="1:3" ht="12.75">
      <c r="A308" t="str">
        <f>'[2]Table 1'!B285&amp;": "&amp;'[2]Table 1'!C285</f>
        <v>PM710MG: ИЗМЕРИТЕЛЬ МОЩНОСТИ, МНОГОФУНКЦ., PM710MG</v>
      </c>
      <c r="B308" s="4">
        <f>31272*0.8</f>
        <v>25017.600000000002</v>
      </c>
      <c r="C308" s="11" t="s">
        <v>1</v>
      </c>
    </row>
    <row r="309" spans="1:3" ht="12.75">
      <c r="A309" t="str">
        <f>'[2]Table 1'!B286&amp;": "&amp;'[2]Table 1'!C286</f>
        <v>490NOR00003: ОПТОВОЛОКОННЫЙ КАБЕЛЬ С MT/RJ- MT/RJ РАЗЪЕМАМИ НА КОНЦАХ, 3М.</v>
      </c>
      <c r="B309" s="4">
        <f>2771.565*0.8</f>
        <v>2217.252</v>
      </c>
      <c r="C309" s="11" t="s">
        <v>1</v>
      </c>
    </row>
    <row r="310" spans="1:3" ht="12.75">
      <c r="A310" t="str">
        <f>'[2]Table 1'!B287&amp;": "&amp;'[2]Table 1'!C287</f>
        <v>CCTDD20003: STD1000RL ДИММЕР 1000ВТ STD1000RL- DIN ОДИНОЧНЫЙ</v>
      </c>
      <c r="B310" s="4">
        <f>7247*0.8</f>
        <v>5797.6</v>
      </c>
      <c r="C310" s="11" t="s">
        <v>1</v>
      </c>
    </row>
    <row r="311" spans="1:3" ht="12.75">
      <c r="A311" t="str">
        <f>'[2]Table 1'!B288&amp;": "&amp;'[2]Table 1'!C288</f>
        <v>TCSESM083F2CU0: КОММУТАТОР CONNEXIUM (MANAGED) 6TX/2FX-MM</v>
      </c>
      <c r="B311" s="4">
        <f>44425.28*0.8</f>
        <v>35540.224</v>
      </c>
      <c r="C311" s="11" t="s">
        <v>1</v>
      </c>
    </row>
    <row r="312" spans="1:3" ht="12.75">
      <c r="A312" t="str">
        <f>'[2]Table 1'!B289&amp;": "&amp;'[2]Table 1'!C289</f>
        <v>XBTN200: MAGELIS КОМПАКТНЫЙ СИМВОЛЬНЫЙ ДИСПЛЕЙ, 2X20 СИМВ., ПИТАНИЕ ОТ ПЛК</v>
      </c>
      <c r="B312" s="4">
        <f>4925.795*0.8</f>
        <v>3940.6360000000004</v>
      </c>
      <c r="C312" s="11" t="s">
        <v>1</v>
      </c>
    </row>
    <row r="313" spans="1:3" ht="12.75">
      <c r="A313" t="str">
        <f>'[2]Table 1'!B290&amp;": "&amp;'[2]Table 1'!C290</f>
        <v>NSYCCOTHO: ТЕРМОСТАТ С НО КОНТАКТОМ</v>
      </c>
      <c r="B313" s="4">
        <f>935.805*0.8</f>
        <v>748.644</v>
      </c>
      <c r="C313" s="11" t="s">
        <v>1</v>
      </c>
    </row>
    <row r="314" spans="1:3" ht="12.75">
      <c r="A314" t="str">
        <f>'[2]Table 1'!B291&amp;": "&amp;'[2]Table 1'!C291</f>
        <v>TWDXCAISO: МОДУЛЬ С ГАЛЬВАНИЧЕСКОЙ РАЗВЯЗКОЙ MODBUS</v>
      </c>
      <c r="B314" s="4">
        <f>2405.8*0.8</f>
        <v>1924.6400000000003</v>
      </c>
      <c r="C314" s="11" t="s">
        <v>1</v>
      </c>
    </row>
    <row r="315" spans="1:3" ht="12.75">
      <c r="A315" t="str">
        <f>'[2]Table 1'!B292&amp;": "&amp;'[2]Table 1'!C292</f>
        <v>TSXSCA50: КОРОБКА РАЗВЕТВЛЕНИЯ</v>
      </c>
      <c r="B315" s="4">
        <f>5116.675*0.8</f>
        <v>4093.34</v>
      </c>
      <c r="C315" s="11" t="s">
        <v>1</v>
      </c>
    </row>
    <row r="316" spans="1:3" ht="12.75">
      <c r="A316" t="str">
        <f>'[2]Table 1'!B293&amp;": "&amp;'[2]Table 1'!C293</f>
        <v>MA0185100: ОТВЕТВИТЕЛЬ (TAP) ДЛЯ КОАКС. КАБЕЛЯ S908</v>
      </c>
      <c r="B316" s="4">
        <f>7306.285*0.8</f>
        <v>5845.028</v>
      </c>
      <c r="C316" s="11" t="s">
        <v>1</v>
      </c>
    </row>
    <row r="317" spans="1:3" ht="12.75">
      <c r="A317" t="str">
        <f>'[2]Table 1'!B294&amp;": "&amp;'[2]Table 1'!C294</f>
        <v>140XBP00400: ШАССИ 4 СЛОТА</v>
      </c>
      <c r="B317" s="4">
        <f>8052.225*0.8</f>
        <v>6441.780000000001</v>
      </c>
      <c r="C317" s="11" t="s">
        <v>1</v>
      </c>
    </row>
    <row r="318" spans="1:3" ht="12.75">
      <c r="A318" t="str">
        <f>'[2]Table 1'!B295&amp;": "&amp;'[2]Table 1'!C295</f>
        <v>140XBP01600: ШАССИ 16 СЛОТОВ</v>
      </c>
      <c r="B318" s="4">
        <f>15487.845*0.8</f>
        <v>12390.276</v>
      </c>
      <c r="C318" s="11" t="s">
        <v>1</v>
      </c>
    </row>
    <row r="319" spans="1:3" ht="12.75">
      <c r="A319" t="str">
        <f>'[2]Table 1'!B296&amp;": "&amp;'[2]Table 1'!C296</f>
        <v>NSYCAG291LPC: СМЕННАЯ РЕШЕТКА 291Х291 ЦВЕТ RAL7032</v>
      </c>
      <c r="B319" s="4">
        <f>629.4*0.8</f>
        <v>503.52</v>
      </c>
      <c r="C319" s="11" t="s">
        <v>1</v>
      </c>
    </row>
    <row r="320" spans="1:3" ht="12.75">
      <c r="A320" t="str">
        <f>'[2]Table 1'!B297&amp;": "&amp;'[2]Table 1'!C297</f>
        <v>140XBP00600: ШАССИ 6 СЛОТА</v>
      </c>
      <c r="B320" s="4">
        <f>8993.445*0.8</f>
        <v>7194.756</v>
      </c>
      <c r="C320" s="11" t="s">
        <v>1</v>
      </c>
    </row>
    <row r="321" spans="1:3" ht="12.75">
      <c r="A321" t="str">
        <f>'[2]Table 1'!B298&amp;": "&amp;'[2]Table 1'!C298</f>
        <v>140XBP01000: ШАССИ 10 СЛОТОВ</v>
      </c>
      <c r="B321" s="4">
        <f>11831.515*0.8</f>
        <v>9465.212</v>
      </c>
      <c r="C321" s="11" t="s">
        <v>1</v>
      </c>
    </row>
    <row r="322" spans="1:3" ht="12.75">
      <c r="A322" t="str">
        <f>'[2]Table 1'!B299&amp;": "&amp;'[2]Table 1'!C299</f>
        <v>NSYTLG2FL: ПЛАТА КАБ. ВВОДА ДЛЯ МЕМБР. 495Х220 S3D</v>
      </c>
      <c r="B322" s="4">
        <f>1277.4*0.8</f>
        <v>1021.9200000000001</v>
      </c>
      <c r="C322" s="11" t="s">
        <v>1</v>
      </c>
    </row>
    <row r="323" spans="1:3" ht="12.75">
      <c r="A323" t="str">
        <f>'[2]Table 1'!B300&amp;": "&amp;'[2]Table 1'!C300</f>
        <v>VW3A8306RC: ТЕРМИНАТОР RC MODBUS RJ45</v>
      </c>
      <c r="B323" s="4">
        <f>88*0.8</f>
        <v>70.4</v>
      </c>
      <c r="C323" s="11" t="s">
        <v>1</v>
      </c>
    </row>
    <row r="324" spans="1:3" ht="12.75">
      <c r="A324" t="str">
        <f>'[2]Table 1'!B301&amp;": "&amp;'[2]Table 1'!C301</f>
        <v>VW3A1102: КОМПЛЕКТ ВЫНОСН МОНТ ГРАФИЧ ТЕРМ IP54</v>
      </c>
      <c r="B324" s="4">
        <f>1314.98*0.8</f>
        <v>1051.9840000000002</v>
      </c>
      <c r="C324" s="11" t="s">
        <v>1</v>
      </c>
    </row>
    <row r="325" spans="1:3" ht="12.75">
      <c r="A325" t="str">
        <f>'[2]Table 1'!B302&amp;": "&amp;'[2]Table 1'!C302</f>
        <v>VW3A1103: АКСЕССУАРЫ ДЛЯ КОМПЛ ВЫНОСН МОНТ IP65</v>
      </c>
      <c r="B325" s="4">
        <f>544.005*0.8</f>
        <v>435.204</v>
      </c>
      <c r="C325" s="11" t="s">
        <v>1</v>
      </c>
    </row>
    <row r="326" spans="1:3" ht="12.75">
      <c r="A326" t="str">
        <f>'[2]Table 1'!B303&amp;": "&amp;'[2]Table 1'!C303</f>
        <v>VW3A3302: КАРТА MODBUS PLUS</v>
      </c>
      <c r="B326" s="4">
        <f>4667.445*0.8</f>
        <v>3733.956</v>
      </c>
      <c r="C326" s="11" t="s">
        <v>1</v>
      </c>
    </row>
    <row r="327" spans="1:3" ht="12.75">
      <c r="A327" t="str">
        <f>'[2]Table 1'!B304&amp;": "&amp;'[2]Table 1'!C304</f>
        <v>VW3A3608: КОММУНИКАЦИОННАЯ КАРТА CAN 2XRJ45 ATV32 LXM32</v>
      </c>
      <c r="B327" s="4">
        <f>1762.39*0.8</f>
        <v>1409.9120000000003</v>
      </c>
      <c r="C327" s="11" t="s">
        <v>1</v>
      </c>
    </row>
    <row r="328" spans="1:3" ht="12.75">
      <c r="A328" t="str">
        <f>'[2]Table 1'!B305&amp;": "&amp;'[2]Table 1'!C305</f>
        <v>VW3A3407: КАРТА ИНТЕРФ 24В PUSH PULL ЭНКОДЕРА</v>
      </c>
      <c r="B328" s="4">
        <f>1928.125*0.8</f>
        <v>1542.5</v>
      </c>
      <c r="C328" s="11" t="s">
        <v>1</v>
      </c>
    </row>
    <row r="329" spans="1:3" ht="12.75">
      <c r="A329" t="str">
        <f>'[2]Table 1'!B306&amp;": "&amp;'[2]Table 1'!C306</f>
        <v>VW3A1006: ВЫНОСНОЙ ТЕРМИНАЛ IP54</v>
      </c>
      <c r="B329" s="4">
        <f>1198.875*0.8</f>
        <v>959.1</v>
      </c>
      <c r="C329" s="11" t="s">
        <v>1</v>
      </c>
    </row>
    <row r="330" spans="1:3" ht="12.75">
      <c r="A330" t="str">
        <f>'[2]Table 1'!B307&amp;": "&amp;'[2]Table 1'!C307</f>
        <v>VW3A1105: АДАПТОР RJ45 ГНЕЗДО-ГНЕЗДО ATV71</v>
      </c>
      <c r="B330" s="4">
        <f>416.475*0.8</f>
        <v>333.18000000000006</v>
      </c>
      <c r="C330" s="11" t="s">
        <v>1</v>
      </c>
    </row>
    <row r="331" spans="1:3" ht="12.75">
      <c r="A331" t="str">
        <f>'[2]Table 1'!B308&amp;": "&amp;'[2]Table 1'!C308</f>
        <v>VW3A1101: ГРАФИЧЕСКИЙ ТЕРМИНАЛ ATV71</v>
      </c>
      <c r="B331" s="4">
        <f>3010.97*0.8</f>
        <v>2408.776</v>
      </c>
      <c r="C331" s="11" t="s">
        <v>1</v>
      </c>
    </row>
    <row r="332" spans="1:3" ht="12.75">
      <c r="A332" t="str">
        <f>'[2]Table 1'!B309&amp;": "&amp;'[2]Table 1'!C309</f>
        <v>VW3A8306R: ТЕРМИНАТОР R MODBUS RJ45</v>
      </c>
      <c r="B332" s="4">
        <f>105.715*0.8</f>
        <v>84.572</v>
      </c>
      <c r="C332" s="11" t="s">
        <v>1</v>
      </c>
    </row>
    <row r="333" spans="1:3" ht="12.75">
      <c r="A333" t="str">
        <f>'[2]Table 1'!B310&amp;": "&amp;'[2]Table 1'!C310</f>
        <v>XB4BA21: КНОПКА 22ММ ЧЁРНАЯ С ВОЗВРАТОМ</v>
      </c>
      <c r="B333" s="4">
        <f>229.36*0.8</f>
        <v>183.48800000000003</v>
      </c>
      <c r="C333" s="11" t="s">
        <v>1</v>
      </c>
    </row>
    <row r="334" spans="1:3" ht="12.75">
      <c r="A334" t="str">
        <f>'[2]Table 1'!B311&amp;": "&amp;'[2]Table 1'!C311</f>
        <v>XB4BA42: КНОПКА 22ММ КРАСНАЯ С ВОЗВРАТОМ</v>
      </c>
      <c r="B334" s="4">
        <f>252.53*0.8</f>
        <v>202.024</v>
      </c>
      <c r="C334" s="11" t="s">
        <v>1</v>
      </c>
    </row>
    <row r="335" spans="1:3" ht="12.75">
      <c r="A335" t="str">
        <f>'[2]Table 1'!B312&amp;": "&amp;'[2]Table 1'!C312</f>
        <v>XB4BD21: ПЕРЕКЛЮЧАТЕЛЬ 2 ПОЗИЦИИ</v>
      </c>
      <c r="B335" s="4">
        <f>379.035*0.8</f>
        <v>303.228</v>
      </c>
      <c r="C335" s="11" t="s">
        <v>1</v>
      </c>
    </row>
    <row r="336" spans="1:3" ht="12.75">
      <c r="A336" t="str">
        <f>'[2]Table 1'!B313&amp;": "&amp;'[2]Table 1'!C313</f>
        <v>XB4BD25: ПЕРЕКЛЮЧАТЕЛЬ 2 ПОЗИЦИИ XB4BD25</v>
      </c>
      <c r="B336" s="4">
        <f>478.065*0.8</f>
        <v>382.452</v>
      </c>
      <c r="C336" s="11" t="s">
        <v>1</v>
      </c>
    </row>
    <row r="337" spans="1:3" ht="12.75">
      <c r="A337" t="str">
        <f>'[2]Table 1'!B314&amp;": "&amp;'[2]Table 1'!C314</f>
        <v>XB4BW31B5: КНОПКА 22ММ 24В БЕЛАЯ С ВОЗВ. С ПОДСВ.</v>
      </c>
      <c r="B337" s="4">
        <f>603.135*0.8</f>
        <v>482.50800000000004</v>
      </c>
      <c r="C337" s="11" t="s">
        <v>1</v>
      </c>
    </row>
    <row r="338" spans="1:3" ht="12.75">
      <c r="A338" t="str">
        <f>'[2]Table 1'!B315&amp;": "&amp;'[2]Table 1'!C315</f>
        <v>XB4BT845: КНОПКА АВАРИЙНОГО ОСТАНОВА 22ММ</v>
      </c>
      <c r="B338" s="4">
        <f>714.98*0.8</f>
        <v>571.984</v>
      </c>
      <c r="C338" s="11" t="s">
        <v>1</v>
      </c>
    </row>
    <row r="339" spans="1:3" ht="12.75">
      <c r="A339" t="str">
        <f>'[2]Table 1'!B316&amp;": "&amp;'[2]Table 1'!C316</f>
        <v>XB5AK125B5: ПЕРЕКЛЮЧАТЕЛЬ 22ММ 24В 2 ПОЗИЦИ ЖЕЛТЫЙ С ПОДСВЕТКОЙ</v>
      </c>
      <c r="B339" s="4">
        <f>632.26*0.8</f>
        <v>505.808</v>
      </c>
      <c r="C339" s="11" t="s">
        <v>1</v>
      </c>
    </row>
    <row r="340" spans="1:3" ht="12.75">
      <c r="A340" t="str">
        <f>'[2]Table 1'!B317&amp;": "&amp;'[2]Table 1'!C317</f>
        <v>XB4BJ53: ПЕРЕКЛЮЧАТЕЛЬ 3 ПОЗИЦИИ С ВОЗВРАТОМ</v>
      </c>
      <c r="B340" s="4">
        <f>538.14*0.8</f>
        <v>430.512</v>
      </c>
      <c r="C340" s="11" t="s">
        <v>1</v>
      </c>
    </row>
    <row r="341" spans="1:3" ht="12.75">
      <c r="A341" t="str">
        <f>'[2]Table 1'!B318&amp;": "&amp;'[2]Table 1'!C318</f>
        <v>XALK178F: ПОСТ КНОПОЧНЫЙ АВАРИЙН.ОСТ. КР.КНОПКА</v>
      </c>
      <c r="B341" s="4">
        <f>997.74*0.8</f>
        <v>798.192</v>
      </c>
      <c r="C341" s="11" t="s">
        <v>1</v>
      </c>
    </row>
    <row r="342" spans="1:3" ht="12.75">
      <c r="A342" t="str">
        <f>'[2]Table 1'!B319&amp;": "&amp;'[2]Table 1'!C319</f>
        <v>XB4BD33: ПЕРЕКЛЮЧАТЕЛЬ 3 ПОЗИЦИИ</v>
      </c>
      <c r="B342" s="4">
        <f>487.615*0.8</f>
        <v>390.09200000000004</v>
      </c>
      <c r="C342" s="11" t="s">
        <v>1</v>
      </c>
    </row>
    <row r="343" spans="1:3" ht="12.75">
      <c r="A343" t="str">
        <f>'[2]Table 1'!B320&amp;": "&amp;'[2]Table 1'!C320</f>
        <v>XB5AD53: ПЕРЕКЛЮЧАТЕЛЬ 22ММ ЧЕРНЫЙ 3 ПОЗИЦИИ С ВОЗВРАТОМ</v>
      </c>
      <c r="B343" s="4">
        <f>356.385*0.8</f>
        <v>285.108</v>
      </c>
      <c r="C343" s="11" t="s">
        <v>1</v>
      </c>
    </row>
    <row r="344" spans="1:3" ht="12.75">
      <c r="A344" t="str">
        <f>'[2]Table 1'!B321&amp;": "&amp;'[2]Table 1'!C321</f>
        <v>XD4PA22: ДЖОЙСТИК 22ММ 2 НАПРАВЛЕНИЯ С ВОЗВРАТОМ</v>
      </c>
      <c r="B344" s="4">
        <f>1343.575*0.8</f>
        <v>1074.8600000000001</v>
      </c>
      <c r="C344" s="11" t="s">
        <v>1</v>
      </c>
    </row>
    <row r="345" spans="1:3" ht="12.75">
      <c r="A345" t="str">
        <f>'[2]Table 1'!B322&amp;": "&amp;'[2]Table 1'!C322</f>
        <v>XB5AA31: КНОПКА 22ММ ЗЕЛЕНАЯ С ВОЗВРАТОМ</v>
      </c>
      <c r="B345" s="4">
        <f>150.51*0.8</f>
        <v>120.408</v>
      </c>
      <c r="C345" s="11" t="s">
        <v>1</v>
      </c>
    </row>
    <row r="346" spans="1:3" ht="12.75">
      <c r="A346" t="str">
        <f>'[2]Table 1'!B323&amp;": "&amp;'[2]Table 1'!C323</f>
        <v>XB5AA42: КНОПКА 22ММ КРАСНАЯ С ВОЗВРАТОМ</v>
      </c>
      <c r="B346" s="4">
        <f>150.51*0.8</f>
        <v>120.408</v>
      </c>
      <c r="C346" s="11" t="s">
        <v>1</v>
      </c>
    </row>
    <row r="347" spans="1:3" ht="12.75">
      <c r="A347" t="str">
        <f>'[2]Table 1'!B324&amp;": "&amp;'[2]Table 1'!C324</f>
        <v>XAPM1201: КНОПОЧНЫЙ ПОСТ МЕТАЛЛИЧЕСКИЙ 1ОТВ. 80Х80</v>
      </c>
      <c r="B347" s="4">
        <f>1113.15*0.8</f>
        <v>890.5200000000001</v>
      </c>
      <c r="C347" s="11" t="s">
        <v>1</v>
      </c>
    </row>
    <row r="348" spans="1:3" ht="12.75">
      <c r="A348" t="str">
        <f>'[2]Table 1'!B325&amp;": "&amp;'[2]Table 1'!C325</f>
        <v>XAPM1501: КНОПОЧНЫЙ ПОСТ МЕТАЛЛИЧЕСКИЙ 1ОТВ. 80Х80</v>
      </c>
      <c r="B348" s="4">
        <f>1123.195*0.8</f>
        <v>898.556</v>
      </c>
      <c r="C348" s="11" t="s">
        <v>1</v>
      </c>
    </row>
    <row r="349" spans="1:3" ht="12.75">
      <c r="A349" t="str">
        <f>'[2]Table 1'!B326&amp;": "&amp;'[2]Table 1'!C326</f>
        <v>XB5AD21: ПЕРЕКЛЮЧАТЕЛЬ 22ММ ЧЕРНЫЙ 2 ПОЗИЦИИ</v>
      </c>
      <c r="B349" s="4">
        <f>240.875*0.8</f>
        <v>192.70000000000002</v>
      </c>
      <c r="C349" s="11" t="s">
        <v>1</v>
      </c>
    </row>
    <row r="350" spans="1:3" ht="12.75">
      <c r="A350" t="str">
        <f>'[2]Table 1'!B327&amp;": "&amp;'[2]Table 1'!C327</f>
        <v>XB5AD33: ПЕРЕКЛЮЧАТЕЛЬ 22ММ 3 ПОЗИЦИИ + 2NO</v>
      </c>
      <c r="B350" s="4">
        <f>326.1*0.8</f>
        <v>260.88000000000005</v>
      </c>
      <c r="C350" s="11" t="s">
        <v>1</v>
      </c>
    </row>
    <row r="351" spans="1:3" ht="12.75">
      <c r="A351" t="str">
        <f>'[2]Table 1'!B328&amp;": "&amp;'[2]Table 1'!C328</f>
        <v>XB4BA31: КНОПКА 22ММ ЗЕЛЕНАЯ С ВОЗВРАТОМ</v>
      </c>
      <c r="B351" s="4">
        <f>247.01*0.8</f>
        <v>197.608</v>
      </c>
      <c r="C351" s="11" t="s">
        <v>1</v>
      </c>
    </row>
    <row r="352" spans="1:3" ht="12.75">
      <c r="A352" t="str">
        <f>'[2]Table 1'!B329&amp;": "&amp;'[2]Table 1'!C329</f>
        <v>XB4BW33B5: КНОПКА ЗЕЛЕНАЯ 24В С ВОЗВР. С ПОДСВ</v>
      </c>
      <c r="B352" s="4">
        <f>603.135*0.8</f>
        <v>482.50800000000004</v>
      </c>
      <c r="C352" s="11" t="s">
        <v>1</v>
      </c>
    </row>
    <row r="353" spans="1:3" ht="12.75">
      <c r="A353" t="str">
        <f>'[2]Table 1'!B330&amp;": "&amp;'[2]Table 1'!C330</f>
        <v>XB4BS8442: КНОПКА АВАР. ОСТ. И ОТКЛ., ВОЗВ. ПОВОР. XB4BS8442</v>
      </c>
      <c r="B353" s="4">
        <f>461.44*0.8</f>
        <v>369.15200000000004</v>
      </c>
      <c r="C353" s="11" t="s">
        <v>1</v>
      </c>
    </row>
    <row r="354" spans="1:3" ht="12.75">
      <c r="A354" t="str">
        <f>'[2]Table 1'!B331&amp;": "&amp;'[2]Table 1'!C331</f>
        <v>XB5AA21: КНОПКА 22ММ ЧЁРНАЯ С ВОЗВРАТОМ</v>
      </c>
      <c r="B354" s="4">
        <f>150.51*0.8</f>
        <v>120.408</v>
      </c>
      <c r="C354" s="11" t="s">
        <v>1</v>
      </c>
    </row>
    <row r="355" spans="1:3" ht="12.75">
      <c r="A355" t="str">
        <f>'[2]Table 1'!B332&amp;": "&amp;'[2]Table 1'!C332</f>
        <v>XB4BVB5: СИГНАЛЬНАЯ ЛАМПА 22ММ 24В ЖЕЛТАЯ С ПОДСВЕТКОЙ</v>
      </c>
      <c r="B355" s="4">
        <f>308.075*0.8</f>
        <v>246.46</v>
      </c>
      <c r="C355" s="11" t="s">
        <v>1</v>
      </c>
    </row>
    <row r="356" spans="1:3" ht="12.75">
      <c r="A356" t="str">
        <f>'[2]Table 1'!B333&amp;": "&amp;'[2]Table 1'!C333</f>
        <v>XB4BVB1: СИГН. ЛАМПА 22ММ 24В БЕЛАЯ С ДИОДОМ</v>
      </c>
      <c r="B356" s="4">
        <f>284.055*0.8</f>
        <v>227.24400000000003</v>
      </c>
      <c r="C356" s="11" t="s">
        <v>1</v>
      </c>
    </row>
    <row r="357" spans="1:3" ht="12.75">
      <c r="A357" t="str">
        <f>'[2]Table 1'!B334&amp;": "&amp;'[2]Table 1'!C334</f>
        <v>XB5AVB1: СИГН. ЛАМПА 22ММ 24В БЕЛАЯ С ДИОДОМ</v>
      </c>
      <c r="B357" s="4">
        <f>241.625*0.8</f>
        <v>193.3</v>
      </c>
      <c r="C357" s="11" t="s">
        <v>1</v>
      </c>
    </row>
    <row r="358" spans="1:3" ht="12.75">
      <c r="A358" t="str">
        <f>'[2]Table 1'!B335&amp;": "&amp;'[2]Table 1'!C335</f>
        <v>XB5AVB3: СИГН. ЛАМПА 22ММ 24В ЗЕЛЕНАЯ С ДИОДОМ</v>
      </c>
      <c r="B358" s="4">
        <f>241.625*0.8</f>
        <v>193.3</v>
      </c>
      <c r="C358" s="11" t="s">
        <v>1</v>
      </c>
    </row>
    <row r="359" spans="1:3" ht="12.75">
      <c r="A359" t="str">
        <f>'[2]Table 1'!B336&amp;": "&amp;'[2]Table 1'!C336</f>
        <v>XB5AVB4: СИГН. ЛАМПА 22ММ 24В КРАСНАЯ С ДИОДОМ</v>
      </c>
      <c r="B359" s="4">
        <f>241.625*0.8</f>
        <v>193.3</v>
      </c>
      <c r="C359" s="11" t="s">
        <v>1</v>
      </c>
    </row>
    <row r="360" spans="1:3" ht="12.75">
      <c r="A360" t="str">
        <f>'[2]Table 1'!B337&amp;": "&amp;'[2]Table 1'!C337</f>
        <v>XB4BVB6: СИГН. ЛАМПА 22ММ 24В СИНЯЯ С ДИОДОМ</v>
      </c>
      <c r="B360" s="4">
        <f>308.075*0.8</f>
        <v>246.46</v>
      </c>
      <c r="C360" s="11" t="s">
        <v>1</v>
      </c>
    </row>
    <row r="361" spans="1:3" ht="12.75">
      <c r="A361" t="str">
        <f>'[2]Table 1'!B338&amp;": "&amp;'[2]Table 1'!C338</f>
        <v>XB5AVB6: СИГН. ЛАМПА 22ММ 24В СИНЯЯ С ДИОДОМ</v>
      </c>
      <c r="B361" s="4">
        <f>241.625*0.8</f>
        <v>193.3</v>
      </c>
      <c r="C361" s="11" t="s">
        <v>1</v>
      </c>
    </row>
    <row r="362" spans="1:3" ht="12.75">
      <c r="A362" t="str">
        <f>'[2]Table 1'!B339&amp;": "&amp;'[2]Table 1'!C339</f>
        <v>XB4BVB3: СИГНАЛЬНАЯ ЛАМПА 22ММ 24В ЗЕЛЕНАЯ С ПОДСВЕТКОЙ</v>
      </c>
      <c r="B362" s="4">
        <f>308.075*0.8</f>
        <v>246.46</v>
      </c>
      <c r="C362" s="11" t="s">
        <v>1</v>
      </c>
    </row>
    <row r="363" spans="1:3" ht="12.75">
      <c r="A363" t="str">
        <f>'[2]Table 1'!B340&amp;": "&amp;'[2]Table 1'!C340</f>
        <v>XB5AVB5: СИГН. ЛАМПА 22ММ 24В ЖЕЛТАЯ С ДИОДОМ</v>
      </c>
      <c r="B363" s="4">
        <f>241.625*0.8</f>
        <v>193.3</v>
      </c>
      <c r="C363" s="11" t="s">
        <v>1</v>
      </c>
    </row>
    <row r="364" spans="1:3" ht="12.75">
      <c r="A364" t="str">
        <f>'[2]Table 1'!B341&amp;": "&amp;'[2]Table 1'!C341</f>
        <v>ZBZ33: ДЕРЖАТЕЛЬ МАРКИРОВКИ</v>
      </c>
      <c r="B364" s="4">
        <f>18.325*0.8</f>
        <v>14.66</v>
      </c>
      <c r="C364" s="11" t="s">
        <v>1</v>
      </c>
    </row>
    <row r="365" spans="1:3" ht="12.75">
      <c r="A365" t="str">
        <f>'[2]Table 1'!B342&amp;": "&amp;'[2]Table 1'!C342</f>
        <v>ZBY6102: ДЕРЖАТЕЛЬ МАРКИРОВКИ + МАРКИР. ZBY6102</v>
      </c>
      <c r="B365" s="4">
        <f>46.51*0.8</f>
        <v>37.208</v>
      </c>
      <c r="C365" s="11" t="s">
        <v>1</v>
      </c>
    </row>
    <row r="366" spans="1:3" ht="12.75">
      <c r="A366" t="str">
        <f>'[2]Table 1'!B343&amp;": "&amp;'[2]Table 1'!C343</f>
        <v>ZBZ001: ДЕРЖАТЕЛЬ МАРКИР. ДЛЯ ЭЛЕКТРО БЛОКА</v>
      </c>
      <c r="B366" s="4">
        <f>30.66*0.8</f>
        <v>24.528000000000002</v>
      </c>
      <c r="C366" s="11" t="s">
        <v>1</v>
      </c>
    </row>
    <row r="367" spans="1:3" ht="12.75">
      <c r="A367" t="str">
        <f>'[2]Table 1'!B344&amp;": "&amp;'[2]Table 1'!C344</f>
        <v>XB7EV03MP: СИГН. ЛАМПА 22ММ 230-240В ЗЕЛЕНАЯ</v>
      </c>
      <c r="B367" s="4">
        <f>78.525*0.8</f>
        <v>62.82000000000001</v>
      </c>
      <c r="C367" s="11" t="s">
        <v>1</v>
      </c>
    </row>
    <row r="368" spans="1:3" ht="12.75">
      <c r="A368" t="str">
        <f>'[2]Table 1'!B345&amp;": "&amp;'[2]Table 1'!C345</f>
        <v>XB5AVM3: СИГН. ЛАМПА 22ММ 230-240В ЗЕЛЕНАЯ С ДИОДОМ</v>
      </c>
      <c r="B368" s="4">
        <f>362.035*0.8</f>
        <v>289.62800000000004</v>
      </c>
      <c r="C368" s="11" t="s">
        <v>1</v>
      </c>
    </row>
    <row r="369" spans="1:3" ht="12.75">
      <c r="A369" t="str">
        <f>'[2]Table 1'!B346&amp;": "&amp;'[2]Table 1'!C346</f>
        <v>XB7EV05MP: СИГН. ЛАМПА 22ММ 230-240В ЖЕЛТАЯ</v>
      </c>
      <c r="B369" s="4">
        <f>107.085*0.8</f>
        <v>85.668</v>
      </c>
      <c r="C369" s="11" t="s">
        <v>1</v>
      </c>
    </row>
    <row r="370" spans="1:3" ht="12.75">
      <c r="A370" t="str">
        <f>'[2]Table 1'!B347&amp;": "&amp;'[2]Table 1'!C347</f>
        <v>XB4BVM1: СИГНАЛЬНАЯ ЛАМПА 22ММ 230-240В БЕЛАЯ С ПОДСВЕТКОЙ</v>
      </c>
      <c r="B370" s="4">
        <f>426.525*0.8</f>
        <v>341.22</v>
      </c>
      <c r="C370" s="11" t="s">
        <v>1</v>
      </c>
    </row>
    <row r="371" spans="1:3" ht="12.75">
      <c r="A371" t="str">
        <f>'[2]Table 1'!B348&amp;": "&amp;'[2]Table 1'!C348</f>
        <v>XB5AVM4: СИГНАЛЬНАЯ ЛАМПА 22ММ 230-240В КРАСНАЯ С ПОДСВЕТКОЙ</v>
      </c>
      <c r="B371" s="4">
        <f>362.035*0.8</f>
        <v>289.62800000000004</v>
      </c>
      <c r="C371" s="11" t="s">
        <v>1</v>
      </c>
    </row>
    <row r="372" spans="1:3" ht="12.75">
      <c r="A372" t="str">
        <f>'[2]Table 1'!B349&amp;": "&amp;'[2]Table 1'!C349</f>
        <v>XB7EV04MP: СИГНАЛЬНАЯ ЛАМПА 22ММ 230-240В КРАСНАЯ</v>
      </c>
      <c r="B372" s="4">
        <f>78.525*0.8</f>
        <v>62.82000000000001</v>
      </c>
      <c r="C372" s="11" t="s">
        <v>1</v>
      </c>
    </row>
    <row r="373" spans="1:3" ht="12.75">
      <c r="A373" t="str">
        <f>'[2]Table 1'!B350&amp;": "&amp;'[2]Table 1'!C350</f>
        <v>ZBY4H101: ДЕРЖАТЕЛЬ    МАРКИРОВКИ+МАРКИРОВКА</v>
      </c>
      <c r="B373" s="4">
        <f>23.24*0.8</f>
        <v>18.592</v>
      </c>
      <c r="C373" s="11" t="s">
        <v>1</v>
      </c>
    </row>
    <row r="374" spans="1:3" ht="12.75">
      <c r="A374" t="str">
        <f>'[2]Table 1'!B351&amp;": "&amp;'[2]Table 1'!C351</f>
        <v>ZB2BY2303: МАРКИРОВКА START</v>
      </c>
      <c r="B374" s="4">
        <f>42.235*0.8</f>
        <v>33.788000000000004</v>
      </c>
      <c r="C374" s="11" t="s">
        <v>1</v>
      </c>
    </row>
    <row r="375" spans="1:3" ht="12.75">
      <c r="A375" t="str">
        <f>'[2]Table 1'!B352&amp;": "&amp;'[2]Table 1'!C352</f>
        <v>ZB2BY2304: МАРКИРОВОЧНАЯ ПЛАСТИНА</v>
      </c>
      <c r="B375" s="4">
        <f>42.235*0.8</f>
        <v>33.788000000000004</v>
      </c>
      <c r="C375" s="11" t="s">
        <v>1</v>
      </c>
    </row>
    <row r="376" spans="1:3" ht="12.75">
      <c r="A376" t="str">
        <f>'[2]Table 1'!B353&amp;": "&amp;'[2]Table 1'!C353</f>
        <v>XB4BVM4: СИГНАЛЬНАЯ ЛАМПА 22ММ 230-240В КРАСНАЯ С ПОДСВЕТКОЙ</v>
      </c>
      <c r="B376" s="4">
        <f>490.25*0.8</f>
        <v>392.20000000000005</v>
      </c>
      <c r="C376" s="11" t="s">
        <v>1</v>
      </c>
    </row>
    <row r="377" spans="1:3" ht="12.75">
      <c r="A377" t="str">
        <f>'[2]Table 1'!B354&amp;": "&amp;'[2]Table 1'!C354</f>
        <v>XB5AVM6: СИГН. ЛАМПА 22ММ 230-240В СИНЯЯ С ДИОДОМ</v>
      </c>
      <c r="B377" s="4">
        <f>361.925*0.8</f>
        <v>289.54</v>
      </c>
      <c r="C377" s="11" t="s">
        <v>1</v>
      </c>
    </row>
    <row r="378" spans="1:3" ht="12.75">
      <c r="A378" t="str">
        <f>'[2]Table 1'!B355&amp;": "&amp;'[2]Table 1'!C355</f>
        <v>ZBY4101: ЭТИКЕТКА</v>
      </c>
      <c r="B378" s="4">
        <f>19.37*0.8</f>
        <v>15.496000000000002</v>
      </c>
      <c r="C378" s="11" t="s">
        <v>1</v>
      </c>
    </row>
    <row r="379" spans="1:3" ht="12.75">
      <c r="A379" t="str">
        <f>'[2]Table 1'!B356&amp;": "&amp;'[2]Table 1'!C356</f>
        <v>XB4BVM5: СИГНАЛЬНАЯ ЛАМПА 22ММ 230-240В ЖЕЛТАЯ С ПОДСВЕТКОЙ</v>
      </c>
      <c r="B379" s="4">
        <f>490.25*0.8</f>
        <v>392.20000000000005</v>
      </c>
      <c r="C379" s="11" t="s">
        <v>1</v>
      </c>
    </row>
    <row r="380" spans="1:3" ht="12.75">
      <c r="A380" t="str">
        <f>'[2]Table 1'!B357&amp;": "&amp;'[2]Table 1'!C357</f>
        <v>XB4BVM6: СИГН. ЛАМПА 22ММ 230-240В СИНЯЯ С ДИОДОМ</v>
      </c>
      <c r="B380" s="4">
        <f>490.25*0.8</f>
        <v>392.20000000000005</v>
      </c>
      <c r="C380" s="11" t="s">
        <v>1</v>
      </c>
    </row>
    <row r="381" spans="1:3" ht="12.75">
      <c r="A381" t="str">
        <f>'[2]Table 1'!B358&amp;": "&amp;'[2]Table 1'!C358</f>
        <v>XB5AVM1: СИГН. ЛАМПА 22ММ 230-240В БЕЛАЯ С ДИОДОМ</v>
      </c>
      <c r="B381" s="4">
        <f>361.925*0.8</f>
        <v>289.54</v>
      </c>
      <c r="C381" s="11" t="s">
        <v>1</v>
      </c>
    </row>
    <row r="382" spans="1:3" ht="12.75">
      <c r="A382" t="str">
        <f>'[2]Table 1'!B359&amp;": "&amp;'[2]Table 1'!C359</f>
        <v>ZBY2101: ЭТИКЕТКА БЕЗ ТЕКСТА</v>
      </c>
      <c r="B382" s="4">
        <f>19.37*0.8</f>
        <v>15.496000000000002</v>
      </c>
      <c r="C382" s="11" t="s">
        <v>1</v>
      </c>
    </row>
    <row r="383" spans="1:3" ht="12.75">
      <c r="A383" t="str">
        <f>'[2]Table 1'!B360&amp;": "&amp;'[2]Table 1'!C360</f>
        <v>ZBY2364: МАРКИРОВКА AUTO-HAND</v>
      </c>
      <c r="B383" s="4">
        <f>38.34*0.8</f>
        <v>30.672000000000004</v>
      </c>
      <c r="C383" s="11" t="s">
        <v>1</v>
      </c>
    </row>
    <row r="384" spans="1:3" ht="12.75">
      <c r="A384" t="str">
        <f>'[2]Table 1'!B361&amp;": "&amp;'[2]Table 1'!C361</f>
        <v>XB4BVM3: СИГНАЛЬНАЯ ЛАМПА 22ММ 230-240В ЗЕЛЕНАЯ С ПОДСВЕТКОЙ</v>
      </c>
      <c r="B384" s="4">
        <f>426.525*0.8</f>
        <v>341.22</v>
      </c>
      <c r="C384" s="11" t="s">
        <v>1</v>
      </c>
    </row>
    <row r="385" spans="1:3" ht="12.75">
      <c r="A385" t="str">
        <f>'[2]Table 1'!B362&amp;": "&amp;'[2]Table 1'!C362</f>
        <v>ZBY0101: ПЛАСТИНА ДЛЯ МАРКИРОВКИ ЧИСТАЯ</v>
      </c>
      <c r="B385" s="4">
        <f>16.92*0.8</f>
        <v>13.536000000000001</v>
      </c>
      <c r="C385" s="11" t="s">
        <v>1</v>
      </c>
    </row>
    <row r="386" spans="1:3" ht="12.75">
      <c r="A386" t="str">
        <f>'[2]Table 1'!B363&amp;": "&amp;'[2]Table 1'!C363</f>
        <v>ZBZ34: ДЕРЖАТЕЛЬ МАРКИРОВКИ</v>
      </c>
      <c r="B386" s="4">
        <f>18.38*0.8</f>
        <v>14.704</v>
      </c>
      <c r="C386" s="11" t="s">
        <v>1</v>
      </c>
    </row>
    <row r="387" spans="1:3" ht="12.75">
      <c r="A387" t="str">
        <f>'[2]Table 1'!B364&amp;": "&amp;'[2]Table 1'!C364</f>
        <v>ZBY5101: ПЛАСТИНА ДЛЯ МАРКИРОВКИ ЧИСТАЯ</v>
      </c>
      <c r="B387" s="4">
        <f>16.075*0.8</f>
        <v>12.86</v>
      </c>
      <c r="C387" s="11" t="s">
        <v>1</v>
      </c>
    </row>
    <row r="388" spans="1:3" ht="12.75">
      <c r="A388" t="str">
        <f>'[2]Table 1'!B365&amp;": "&amp;'[2]Table 1'!C365</f>
        <v>ZBY6H102: ДЕРЖАТЕЛЬ МАРКИРОВКИ + МАРКИРОВКА</v>
      </c>
      <c r="B388" s="4">
        <f>38.69*0.8</f>
        <v>30.951999999999998</v>
      </c>
      <c r="C388" s="11" t="s">
        <v>1</v>
      </c>
    </row>
    <row r="389" spans="1:3" ht="12.75">
      <c r="A389" t="str">
        <f>'[2]Table 1'!B366&amp;": "&amp;'[2]Table 1'!C366</f>
        <v>4600100: Настенный датчик STR100</v>
      </c>
      <c r="B389" s="4">
        <f>728*0.8</f>
        <v>582.4</v>
      </c>
      <c r="C389" s="11" t="s">
        <v>1</v>
      </c>
    </row>
    <row r="390" spans="1:3" ht="12.75">
      <c r="A390" t="str">
        <f>'[2]Table 1'!B367&amp;": "&amp;'[2]Table 1'!C367</f>
        <v>4701070: Переключ. давл.(воздух) SPD910-500Pa</v>
      </c>
      <c r="B390" s="4">
        <f>1517*0.8</f>
        <v>1213.6000000000001</v>
      </c>
      <c r="C390" s="11" t="s">
        <v>1</v>
      </c>
    </row>
    <row r="391" spans="1:3" ht="12.75">
      <c r="A391" t="str">
        <f>'[2]Table 1'!B368&amp;": "&amp;'[2]Table 1'!C368</f>
        <v>4702040: Датчик давления (жидк.) SPP110-250kPa</v>
      </c>
      <c r="B391" s="4">
        <f>6254*0.8</f>
        <v>5003.200000000001</v>
      </c>
      <c r="C391" s="11" t="s">
        <v>1</v>
      </c>
    </row>
    <row r="392" spans="1:3" ht="12.75">
      <c r="A392" t="str">
        <f>'[2]Table 1'!B369&amp;": "&amp;'[2]Table 1'!C369</f>
        <v>BSH0553T22A1A: ДВИГАТЕЛЬ BSH 55MM 1,3НМ IP65 Б/ШПОН</v>
      </c>
      <c r="B392" s="4">
        <f>18985.79*0.8</f>
        <v>15188.632000000001</v>
      </c>
      <c r="C392" s="11" t="s">
        <v>1</v>
      </c>
    </row>
    <row r="393" spans="1:3" ht="12.75">
      <c r="A393" t="str">
        <f>'[2]Table 1'!B370&amp;": "&amp;'[2]Table 1'!C370</f>
        <v>ZB4BZ104: КОРП. КНОПКИ С КЛЕММ. ЗАЖ. ПОД ВИНТ</v>
      </c>
      <c r="B393" s="4">
        <f>219.835*0.8</f>
        <v>175.86800000000002</v>
      </c>
      <c r="C393" s="11" t="s">
        <v>1</v>
      </c>
    </row>
    <row r="394" spans="1:3" ht="12.75">
      <c r="A394" t="str">
        <f>'[2]Table 1'!B371&amp;": "&amp;'[2]Table 1'!C371</f>
        <v>XB4BV63: СИГН. ЛАМПА 22ММ ЗЕЛЕНАЯ С ПОДСВЕТКОЙ</v>
      </c>
      <c r="B394" s="4">
        <f>220.445*0.8</f>
        <v>176.356</v>
      </c>
      <c r="C394" s="11" t="s">
        <v>1</v>
      </c>
    </row>
    <row r="395" spans="1:3" ht="12.75">
      <c r="A395" t="str">
        <f>'[2]Table 1'!B372&amp;": "&amp;'[2]Table 1'!C372</f>
        <v>XB4BV65: СИГН. ЛАМПА 22ММ КРАСНАЯ С ПОДСВЕТКОЙ</v>
      </c>
      <c r="B395" s="4">
        <f>220.445*0.8</f>
        <v>176.356</v>
      </c>
      <c r="C395" s="11" t="s">
        <v>1</v>
      </c>
    </row>
    <row r="396" spans="1:3" ht="12.75">
      <c r="A396" t="str">
        <f>'[2]Table 1'!B373&amp;": "&amp;'[2]Table 1'!C373</f>
        <v>XB4BV61: СИГН. ЛАМПА 22ММ БЕЛАЯ С ПОДСВЕТКОЙ</v>
      </c>
      <c r="B396" s="4">
        <f>220.445*0.8</f>
        <v>176.356</v>
      </c>
      <c r="C396" s="11" t="s">
        <v>1</v>
      </c>
    </row>
    <row r="397" spans="1:3" ht="12.75">
      <c r="A397" t="str">
        <f>'[2]Table 1'!B374&amp;": "&amp;'[2]Table 1'!C374</f>
        <v>XB4BV64: СИГН. ЛАМПА 22ММ КРАСНАЯ С ПОДСВЕТКОЙ</v>
      </c>
      <c r="B397" s="4">
        <f>220.445*0.8</f>
        <v>176.356</v>
      </c>
      <c r="C397" s="11" t="s">
        <v>1</v>
      </c>
    </row>
    <row r="398" spans="1:3" ht="12.75">
      <c r="A398" t="str">
        <f>'[2]Table 1'!B375&amp;": "&amp;'[2]Table 1'!C375</f>
        <v>ZB5AW0M314: КОРП КНОПКИ С ПОДСВ(РАЗ'ЁМ)+NO(ZBE- 101)</v>
      </c>
      <c r="B398" s="4">
        <f>477.92*0.8</f>
        <v>382.336</v>
      </c>
      <c r="C398" s="11" t="s">
        <v>1</v>
      </c>
    </row>
    <row r="399" spans="1:3" ht="12.75">
      <c r="A399" t="str">
        <f>'[2]Table 1'!B376&amp;": "&amp;'[2]Table 1'!C376</f>
        <v>DL1CE130: ЛАМПА ДЛИТЕЛЬН. ПРИМЕНЕНИЯ ВА9S</v>
      </c>
      <c r="B399" s="4">
        <f>184.785*0.8</f>
        <v>147.828</v>
      </c>
      <c r="C399" s="11" t="s">
        <v>1</v>
      </c>
    </row>
    <row r="400" spans="1:3" ht="12.75">
      <c r="A400" t="str">
        <f>'[2]Table 1'!B377&amp;": "&amp;'[2]Table 1'!C377</f>
        <v>TSXRKA02: ПЯТЬ КРЫШЕК ДЛЯ ПУСТЫХ СЛОТОВ TSX57</v>
      </c>
      <c r="B400" s="4">
        <f>1199.545*0.8</f>
        <v>959.6360000000001</v>
      </c>
      <c r="C400" s="11" t="s">
        <v>1</v>
      </c>
    </row>
    <row r="401" spans="1:3" ht="12.75">
      <c r="A401" t="str">
        <f>'[2]Table 1'!B378&amp;": "&amp;'[2]Table 1'!C378</f>
        <v>LV429329: 6 РАЗДЕЛИТЕЛЕЙ ПОЛЮСОВ (NSX100/250)</v>
      </c>
      <c r="B401" s="4">
        <f>478.5*0.8</f>
        <v>382.8</v>
      </c>
      <c r="C401" s="11" t="s">
        <v>1</v>
      </c>
    </row>
    <row r="402" spans="1:3" ht="12.75">
      <c r="A402" t="str">
        <f>'[2]Table 1'!B379&amp;": "&amp;'[2]Table 1'!C379</f>
        <v>LV429518: 1 ДЛИН.КЛЕМ.ЗАГЛУШ. ДЛЯ 4Р (NSX100/250)</v>
      </c>
      <c r="B402" s="4">
        <f>547*0.8</f>
        <v>437.6</v>
      </c>
      <c r="C402" s="11" t="s">
        <v>1</v>
      </c>
    </row>
    <row r="403" spans="1:3" ht="12.75">
      <c r="A403" t="str">
        <f>'[2]Table 1'!B380&amp;": "&amp;'[2]Table 1'!C380</f>
        <v>NSYDPA4: КАРМАН ДЛЯ ДОКУМЕНТОВ А4</v>
      </c>
      <c r="B403" s="4">
        <f>512.495*0.8</f>
        <v>409.99600000000004</v>
      </c>
      <c r="C403" s="11" t="s">
        <v>1</v>
      </c>
    </row>
    <row r="404" spans="1:3" ht="12.75">
      <c r="A404" t="str">
        <f>'[2]Table 1'!B381&amp;": "&amp;'[2]Table 1'!C381</f>
        <v>NSYDPA44: КАРМАН ДЛЯ ДОКУМЕНТОВ А4</v>
      </c>
      <c r="B404" s="4">
        <f>449.035*0.8</f>
        <v>359.22800000000007</v>
      </c>
      <c r="C404" s="11" t="s">
        <v>1</v>
      </c>
    </row>
    <row r="405" spans="1:3" ht="12.75">
      <c r="A405" t="str">
        <f>'[2]Table 1'!B382&amp;": "&amp;'[2]Table 1'!C382</f>
        <v>NSYSCCDINLG140: ПЛАСТИКОВЫЙ ДЕРЖАТЕЛЬ ДЛЯ КАБЕЛЕЙ Ш140</v>
      </c>
      <c r="B405" s="4">
        <f>726.55*0.8</f>
        <v>581.24</v>
      </c>
      <c r="C405" s="11" t="s">
        <v>1</v>
      </c>
    </row>
    <row r="406" spans="1:3" ht="12.75">
      <c r="A406" t="str">
        <f>'[2]Table 1'!B383&amp;": "&amp;'[2]Table 1'!C383</f>
        <v>NSYSCCDINLG75: ПЛАСТИКОВЫЙ ДЕРЖАТЕЛЬ ДЛЯ КАБЕЛЕЙ Ш75</v>
      </c>
      <c r="B406" s="4">
        <f>645.67*0.8</f>
        <v>516.536</v>
      </c>
      <c r="C406" s="11" t="s">
        <v>1</v>
      </c>
    </row>
    <row r="407" spans="1:3" ht="12.75">
      <c r="A407" t="str">
        <f>'[2]Table 1'!B384&amp;": "&amp;'[2]Table 1'!C384</f>
        <v>RSL1PVBU: КОМПЛЕКТ РЕЛЕ И РОЗЕТКИ, ВИНТ, 24В АС/DC</v>
      </c>
      <c r="B407" s="4">
        <f>295*0.8</f>
        <v>236</v>
      </c>
      <c r="C407" s="11" t="s">
        <v>1</v>
      </c>
    </row>
    <row r="408" spans="1:3" ht="12.75">
      <c r="A408" t="str">
        <f>'[2]Table 1'!B385&amp;": "&amp;'[2]Table 1'!C385</f>
        <v>RSL1PVPU: КОМПЛЕКТ РЕЛЕ И РОЗЕТКИ, ВИНТ, 230ВАС/DC</v>
      </c>
      <c r="B408" s="4">
        <f>315.5*0.8</f>
        <v>252.4</v>
      </c>
      <c r="C408" s="11" t="s">
        <v>1</v>
      </c>
    </row>
    <row r="409" spans="1:3" ht="12.75">
      <c r="A409" t="str">
        <f>'[2]Table 1'!B386&amp;": "&amp;'[2]Table 1'!C386</f>
        <v>RSZE1S48M: КОЛОДКА ДЛЯ РЕЛЕ RSB1A160**/RSB 2A080**</v>
      </c>
      <c r="B409" s="4">
        <f>134.25*0.8</f>
        <v>107.4</v>
      </c>
      <c r="C409" s="11" t="s">
        <v>1</v>
      </c>
    </row>
    <row r="410" spans="1:3" ht="12.75">
      <c r="A410" t="str">
        <f>'[2]Table 1'!B387&amp;": "&amp;'[2]Table 1'!C387</f>
        <v>RXZE2M114: КОЛОДКА С КОМБИНИРОВ КОНТ 4CO 30ММ</v>
      </c>
      <c r="B410" s="4">
        <f>91.36*0.8</f>
        <v>73.08800000000001</v>
      </c>
      <c r="C410" s="11" t="s">
        <v>1</v>
      </c>
    </row>
    <row r="411" spans="1:3" ht="12.75">
      <c r="A411" t="str">
        <f>'[2]Table 1'!B388&amp;": "&amp;'[2]Table 1'!C388</f>
        <v>RXZE2S114S: КОЛОДКА С ПРУЖИННЫМИ ЗАЖИМАМИ ДЛЯ ЭЛЕКТРОМЕХАНИЧЕСКИХ РЕЛЕ RXM, 2НО/4НО, 12А/6А</v>
      </c>
      <c r="B411" s="4">
        <f>158*0.8</f>
        <v>126.4</v>
      </c>
      <c r="C411" s="11" t="s">
        <v>1</v>
      </c>
    </row>
    <row r="412" spans="1:3" ht="12.75">
      <c r="A412" t="str">
        <f>'[2]Table 1'!B389&amp;": "&amp;'[2]Table 1'!C389</f>
        <v>RXZE2M114M: КОЛОДКА С КОМБИНИРОВАННЫМИ КОНТАКТАМИ 4 ПЕРЕКИДНЫХ, ШИРИНА 27ММ</v>
      </c>
      <c r="B412" s="4">
        <f>110.095*0.8</f>
        <v>88.07600000000001</v>
      </c>
      <c r="C412" s="11" t="s">
        <v>1</v>
      </c>
    </row>
    <row r="413" spans="1:3" ht="12.75">
      <c r="A413" t="str">
        <f>'[2]Table 1'!B390&amp;": "&amp;'[2]Table 1'!C390</f>
        <v>RXZE2S114M: КОЛОДКА С РАЗДЕЛЬНЫМИ КОНТАКТАМИ 4 ПЕРЕКИДНЫХ, ШИРИНА 27MM</v>
      </c>
      <c r="B413" s="4">
        <f>116.525*0.8</f>
        <v>93.22000000000001</v>
      </c>
      <c r="C413" s="11" t="s">
        <v>1</v>
      </c>
    </row>
    <row r="414" spans="1:3" ht="12.75">
      <c r="A414" t="str">
        <f>'[2]Table 1'!B391&amp;": "&amp;'[2]Table 1'!C391</f>
        <v>RM17TG20: РЕЛЕ КОНТРОЛЯ ФАЗ 200/500 В</v>
      </c>
      <c r="B414" s="4">
        <f>2290.025*0.8</f>
        <v>1832.0200000000002</v>
      </c>
      <c r="C414" s="11" t="s">
        <v>1</v>
      </c>
    </row>
    <row r="415" spans="1:3" ht="12.75">
      <c r="A415" t="str">
        <f>'[2]Table 1'!B392&amp;": "&amp;'[2]Table 1'!C392</f>
        <v>RXM4AB2ED: РЕЛЕ 4 CO СВЕТОДИОД 48В ПОСТ ТОКА (НОВ)</v>
      </c>
      <c r="B415" s="4">
        <f>226.17*0.8</f>
        <v>180.936</v>
      </c>
      <c r="C415" s="11" t="s">
        <v>1</v>
      </c>
    </row>
    <row r="416" spans="1:3" ht="12.75">
      <c r="A416" t="str">
        <f>'[2]Table 1'!B393&amp;": "&amp;'[2]Table 1'!C393</f>
        <v>REXL2TMP7: РЕЛЕ-ТАЙМЕР СЪЁМНОЕ МИНИАТЮРНОЕ ДЛЯ ЧАСТОЙ ПОДСТРОЙКИ ~230В, 2 CO, 5А</v>
      </c>
      <c r="B416" s="4">
        <f>940*0.8</f>
        <v>752</v>
      </c>
      <c r="C416" s="11" t="s">
        <v>1</v>
      </c>
    </row>
    <row r="417" spans="1:3" ht="12.75">
      <c r="A417" t="str">
        <f>'[2]Table 1'!B394&amp;": "&amp;'[2]Table 1'!C394</f>
        <v>RXM2AB1FD: РЕЛЕ 2 CO 110В ПОСТ ТОКА</v>
      </c>
      <c r="B417" s="4">
        <f>181.895*0.8</f>
        <v>145.51600000000002</v>
      </c>
      <c r="C417" s="11" t="s">
        <v>1</v>
      </c>
    </row>
    <row r="418" spans="1:3" ht="12.75">
      <c r="A418" t="str">
        <f>'[2]Table 1'!B395&amp;": "&amp;'[2]Table 1'!C395</f>
        <v>RSB2A080ED: РЕЛЕ.2CO 48В ПОСТ.ТОК</v>
      </c>
      <c r="B418" s="4">
        <f>74.945*0.8</f>
        <v>59.955999999999996</v>
      </c>
      <c r="C418" s="11" t="s">
        <v>1</v>
      </c>
    </row>
    <row r="419" spans="1:3" ht="12.75">
      <c r="A419" t="str">
        <f>'[2]Table 1'!B396&amp;": "&amp;'[2]Table 1'!C396</f>
        <v>RXM4AB1B7: МИНИАТЮРНОЕ РЕЛЕ, 2 ПЕРЕКИДНЫХ КОНТАКТА, СВЕТОДИОД, КАТУШКА 24В ПЕРЕМ ТОКА</v>
      </c>
      <c r="B419" s="4">
        <f>170.41*0.8</f>
        <v>136.328</v>
      </c>
      <c r="C419" s="11" t="s">
        <v>1</v>
      </c>
    </row>
    <row r="420" spans="1:3" ht="12.75">
      <c r="A420" t="str">
        <f>'[2]Table 1'!B397&amp;": "&amp;'[2]Table 1'!C397</f>
        <v>REXL4TMP7: РЕЛЕ-ТАЙМЕР СЪЁМНОЕ МИНИАТЮРНОЕ ДЛЯ ЧАСТОЙ ПОДСТРОЙКИ ~230В, 4 CO, 5А</v>
      </c>
      <c r="B420" s="4">
        <f>1165.345*0.8</f>
        <v>932.2760000000001</v>
      </c>
      <c r="C420" s="11" t="s">
        <v>1</v>
      </c>
    </row>
    <row r="421" spans="1:3" ht="12.75">
      <c r="A421" t="str">
        <f>'[2]Table 1'!B398&amp;": "&amp;'[2]Table 1'!C398</f>
        <v>A9C30811: ИМПУЛЬСНОЕ РЕЛЕ iTL16A 1НО 230В АС 110В DC 50-60ГЦ</v>
      </c>
      <c r="B421" s="4">
        <f>861.225*0.8</f>
        <v>688.98</v>
      </c>
      <c r="C421" s="11" t="s">
        <v>1</v>
      </c>
    </row>
    <row r="422" spans="1:3" ht="12.75">
      <c r="A422" t="str">
        <f>'[2]Table 1'!B399&amp;": "&amp;'[2]Table 1'!C399</f>
        <v>RXM4AB1BD: МИНИАТЮРНОЕ РЕЛЕ, 4 ПЕРЕКИДНЫХ КОНТАКТА, КАТУШКА 24В ПЕРЕМ ТОКА</v>
      </c>
      <c r="B422" s="4">
        <f>170.41*0.8</f>
        <v>136.328</v>
      </c>
      <c r="C422" s="11" t="s">
        <v>1</v>
      </c>
    </row>
    <row r="423" spans="1:3" ht="12.75">
      <c r="A423" t="str">
        <f>'[2]Table 1'!B400&amp;": "&amp;'[2]Table 1'!C400</f>
        <v>RXM4AB2BD: МИНИАТЮРНОЕ РЕЛЕ, 4 ПЕРЕКИДНЫХ КОНТАКТА, КАТУШКА 24В ПОСТ ТОКА</v>
      </c>
      <c r="B423" s="4">
        <f>197.295*0.8</f>
        <v>157.836</v>
      </c>
      <c r="C423" s="11" t="s">
        <v>1</v>
      </c>
    </row>
    <row r="424" spans="1:3" ht="12.75">
      <c r="A424" t="str">
        <f>'[2]Table 1'!B401&amp;": "&amp;'[2]Table 1'!C401</f>
        <v>RXM4GB1BD: РЕЛЕ 4 CO СЛАБОТОЧН 24В ПОСТ ТОКА</v>
      </c>
      <c r="B424" s="4">
        <f>222.005*0.8</f>
        <v>177.604</v>
      </c>
      <c r="C424" s="11" t="s">
        <v>1</v>
      </c>
    </row>
    <row r="425" spans="1:3" ht="12.75">
      <c r="A425" t="str">
        <f>'[2]Table 1'!B402&amp;": "&amp;'[2]Table 1'!C402</f>
        <v>RXM4AB2P7: МИНИАТЮРНОЕ РЕЛЕ, 4 ПЕРЕКИДНЫХ КОНТАКТА, СВЕТОДИОД, КАТУШКА 220В ПЕР ТОКА</v>
      </c>
      <c r="B425" s="4">
        <f>206.185*0.8</f>
        <v>164.948</v>
      </c>
      <c r="C425" s="11" t="s">
        <v>1</v>
      </c>
    </row>
    <row r="426" spans="1:3" ht="12.75">
      <c r="A426" t="str">
        <f>'[2]Table 1'!B403&amp;": "&amp;'[2]Table 1'!C403</f>
        <v>RXM2AB1P7: МИНИАТЮРНОЕ РЕЛЕ, 2 ПЕРЕКИДНЫХ КОНТАКТА, КАТУШКА 220В Пер ТОКА</v>
      </c>
      <c r="B426" s="4">
        <f>181.895*0.8</f>
        <v>145.51600000000002</v>
      </c>
      <c r="C426" s="11" t="s">
        <v>1</v>
      </c>
    </row>
    <row r="427" spans="1:3" ht="12.75">
      <c r="A427" t="str">
        <f>'[2]Table 1'!B404&amp;": "&amp;'[2]Table 1'!C404</f>
        <v>RSB2A080JD: РЕЛЕ 2CO 12В ПОСТ.ТОК</v>
      </c>
      <c r="B427" s="4">
        <f>65.49*0.8</f>
        <v>52.391999999999996</v>
      </c>
      <c r="C427" s="11" t="s">
        <v>1</v>
      </c>
    </row>
    <row r="428" spans="1:3" ht="12.75">
      <c r="A428" t="str">
        <f>'[2]Table 1'!B405&amp;": "&amp;'[2]Table 1'!C405</f>
        <v>RSB2A080BD: РЕЛЕ 2CO 24В ПОСТ.ТОК</v>
      </c>
      <c r="B428" s="4">
        <f>65.49*0.8</f>
        <v>52.391999999999996</v>
      </c>
      <c r="C428" s="11" t="s">
        <v>1</v>
      </c>
    </row>
    <row r="429" spans="1:3" ht="12.75">
      <c r="A429" t="str">
        <f>'[2]Table 1'!B406&amp;": "&amp;'[2]Table 1'!C406</f>
        <v>RE7RB11MW: РЕЛЕ, ВЫДЕРЖКА ВРЕМЕНИ НА ВЫКЛЮЧЕНИЕ ПРИ ОБЕСТОЧИВАНИИ 0,05- 1С ~/=240В 1CO</v>
      </c>
      <c r="B429" s="4">
        <f>2920.995*0.8</f>
        <v>2336.796</v>
      </c>
      <c r="C429" s="11" t="s">
        <v>1</v>
      </c>
    </row>
    <row r="430" spans="1:3" ht="12.75">
      <c r="A430" t="str">
        <f>'[2]Table 1'!B407&amp;": "&amp;'[2]Table 1'!C407</f>
        <v>RHK412E: РЕЛЕ БИСТАБИЛЬНОЕ 110В ~</v>
      </c>
      <c r="B430" s="4">
        <f>3028.68*0.8</f>
        <v>2422.944</v>
      </c>
      <c r="C430" s="11" t="s">
        <v>1</v>
      </c>
    </row>
    <row r="431" spans="1:3" ht="12.75">
      <c r="A431" t="str">
        <f>'[2]Table 1'!B408&amp;": "&amp;'[2]Table 1'!C408</f>
        <v>RM4UA33MW: РЕЛЕ ИЗМЕРЕНИЯ НАПРЯЖЕНИЯ 30-500В
~/=24-240В</v>
      </c>
      <c r="B431" s="4">
        <f>6702.035*0.8</f>
        <v>5361.628000000001</v>
      </c>
      <c r="C431" s="11" t="s">
        <v>1</v>
      </c>
    </row>
    <row r="432" spans="1:3" ht="12.75">
      <c r="A432" t="str">
        <f>'[2]Table 1'!B409&amp;": "&amp;'[2]Table 1'!C409</f>
        <v>56193: * РЕЛЕ H99M 240 В 50/60/400 ГЦ С АВТ.СБРОС_0,1_30_А 0_4,5 сек.</v>
      </c>
      <c r="B432" s="4">
        <f>23539*0.8</f>
        <v>18831.2</v>
      </c>
      <c r="C432" s="11" t="s">
        <v>1</v>
      </c>
    </row>
    <row r="433" spans="1:3" ht="12.75">
      <c r="A433" t="str">
        <f>'[2]Table 1'!B410&amp;": "&amp;'[2]Table 1'!C410</f>
        <v>A9C15419: МОДУЛЬ ЗАДЕРЖКИ ВРЕМЕНИ ДЛЯ CT И TL</v>
      </c>
      <c r="B433" s="4">
        <f>6659.28*0.8</f>
        <v>5327.424</v>
      </c>
      <c r="C433" s="11" t="s">
        <v>1</v>
      </c>
    </row>
    <row r="434" spans="1:3" ht="12.75">
      <c r="A434" t="str">
        <f>'[2]Table 1'!B411&amp;": "&amp;'[2]Table 1'!C411</f>
        <v>LA4KE1UG: МОДУЛЬ ПОДАВЛЕНИЯ</v>
      </c>
      <c r="B434" s="4">
        <f>393.955*0.8</f>
        <v>315.164</v>
      </c>
      <c r="C434" s="11" t="s">
        <v>1</v>
      </c>
    </row>
    <row r="435" spans="1:3" ht="12.75">
      <c r="A435" t="str">
        <f>'[2]Table 1'!B412&amp;": "&amp;'[2]Table 1'!C412</f>
        <v>RUW101MW: МОДУЛЬ ВЫДЕРЖКИ ВРЕМЕНИ МУЛЬТИФ 24-240В</v>
      </c>
      <c r="B435" s="4">
        <f>2740.42*0.8</f>
        <v>2192.3360000000002</v>
      </c>
      <c r="C435" s="11" t="s">
        <v>1</v>
      </c>
    </row>
    <row r="436" spans="1:3" ht="12.75">
      <c r="A436" t="str">
        <f>'[2]Table 1'!B413&amp;": "&amp;'[2]Table 1'!C413</f>
        <v>RXM040W: ДИОДНЫЙ МОДУЛЬ 6…250В</v>
      </c>
      <c r="B436" s="4">
        <f>41.92*0.8</f>
        <v>33.536</v>
      </c>
      <c r="C436" s="11" t="s">
        <v>1</v>
      </c>
    </row>
    <row r="437" spans="1:3" ht="12.75">
      <c r="A437" t="str">
        <f>'[2]Table 1'!B414&amp;": "&amp;'[2]Table 1'!C414</f>
        <v>RXM021FP: МОДУЛЬ ВАРИСТОРА 110…240В</v>
      </c>
      <c r="B437" s="4">
        <f>70.7*0.8</f>
        <v>56.56</v>
      </c>
      <c r="C437" s="11" t="s">
        <v>1</v>
      </c>
    </row>
    <row r="438" spans="1:3" ht="12.75">
      <c r="A438" t="str">
        <f>'[2]Table 1'!B415&amp;": "&amp;'[2]Table 1'!C415</f>
        <v>RXM041FU7: RC МОДУЛЬ 110…240В</v>
      </c>
      <c r="B438" s="4">
        <f>74.73*0.8</f>
        <v>59.784000000000006</v>
      </c>
      <c r="C438" s="11" t="s">
        <v>1</v>
      </c>
    </row>
    <row r="439" spans="1:3" ht="12.75">
      <c r="A439" t="str">
        <f>'[2]Table 1'!B416&amp;": "&amp;'[2]Table 1'!C416</f>
        <v>RXZL420: ЗАЩЕЛКИВАЮЩАЯСЯ ЭТИКЕТКА НА КОЛОДКУ</v>
      </c>
      <c r="B439" s="4">
        <f>3.21*0.8</f>
        <v>2.568</v>
      </c>
      <c r="C439" s="11" t="s">
        <v>1</v>
      </c>
    </row>
    <row r="440" spans="1:3" ht="12.75">
      <c r="A440" t="str">
        <f>'[2]Table 1'!B417&amp;": "&amp;'[2]Table 1'!C417</f>
        <v>RXZ400: МЕТАЛЛИЧЕСКАЯ СКОБА-ДЕРЖАТЕЛЬ</v>
      </c>
      <c r="B440" s="4">
        <f>14.435*0.8</f>
        <v>11.548000000000002</v>
      </c>
      <c r="C440" s="11" t="s">
        <v>1</v>
      </c>
    </row>
    <row r="441" spans="1:3" ht="12.75">
      <c r="A441" t="str">
        <f>'[2]Table 1'!B418&amp;": "&amp;'[2]Table 1'!C418</f>
        <v>RXZR335: ПЛАСТИКОВАЯ СКОБА-ДЕРЖАТЕЛЬ</v>
      </c>
      <c r="B441" s="4">
        <f>10.03*0.8</f>
        <v>8.024</v>
      </c>
      <c r="C441" s="11" t="s">
        <v>1</v>
      </c>
    </row>
    <row r="442" spans="1:3" ht="12.75">
      <c r="A442" t="str">
        <f>'[2]Table 1'!B419&amp;": "&amp;'[2]Table 1'!C419</f>
        <v>RXZL520: БЛОК ИЗ 108 ЗАЩЕЛКИВАЮЩИХСЯ ЭТИКЕТОК НА РЕЛЕ</v>
      </c>
      <c r="B442" s="4">
        <f>24.565*0.8</f>
        <v>19.652</v>
      </c>
      <c r="C442" s="11" t="s">
        <v>1</v>
      </c>
    </row>
    <row r="443" spans="1:3" ht="12.75">
      <c r="A443" t="str">
        <f>'[2]Table 1'!B420&amp;": "&amp;'[2]Table 1'!C420</f>
        <v>LAD8N11: ДОПОЛНИТЕЛЬНЫЙ КОНТАКТНЫЙ БЛОК МГНОВЕННОГО ДЕЙСТВИЯ НО+НЗ МОНТИРУЕТСЯ СБОКУ</v>
      </c>
      <c r="B443" s="4">
        <f>458.105*0.8</f>
        <v>366.48400000000004</v>
      </c>
      <c r="C443" s="11" t="s">
        <v>1</v>
      </c>
    </row>
    <row r="444" spans="1:3" ht="12.75">
      <c r="A444" t="str">
        <f>'[2]Table 1'!B421&amp;": "&amp;'[2]Table 1'!C421</f>
        <v>LA6DK10B: БЛОК ЭЛ-МЕХ. ЗАЩЕЛКИ 24V 50/60HZ</v>
      </c>
      <c r="B444" s="4">
        <f>2760.49*0.8</f>
        <v>2208.392</v>
      </c>
      <c r="C444" s="11" t="s">
        <v>1</v>
      </c>
    </row>
    <row r="445" spans="1:3" ht="12.75">
      <c r="A445" t="str">
        <f>'[2]Table 1'!B422&amp;": "&amp;'[2]Table 1'!C422</f>
        <v>VZ7: ДОПОЛНИТЕЛЬНЫЕ КОНТАКТЫ НО+НЗ</v>
      </c>
      <c r="B445" s="4">
        <f>1034.745*0.8</f>
        <v>827.7959999999999</v>
      </c>
      <c r="C445" s="11" t="s">
        <v>1</v>
      </c>
    </row>
    <row r="446" spans="1:3" ht="12.75">
      <c r="A446" t="str">
        <f>'[2]Table 1'!B423&amp;": "&amp;'[2]Table 1'!C423</f>
        <v>LADT4: ДОП. КОНТ. БЛОК C ВЫДЕРЖ. ВРЕМ. 10…180С</v>
      </c>
      <c r="B446" s="4">
        <f>3350.38*0.8</f>
        <v>2680.304</v>
      </c>
      <c r="C446" s="11" t="s">
        <v>1</v>
      </c>
    </row>
    <row r="447" spans="1:3" ht="12.75">
      <c r="A447" t="str">
        <f>'[2]Table 1'!B424&amp;": "&amp;'[2]Table 1'!C424</f>
        <v>LAD6K10M: БЛОК ЭЛЕКТРОМЕХАНИЧЕСКОЙ ЗАЩЕЛКИ AC,DC 220/240V</v>
      </c>
      <c r="B447" s="4">
        <f>2554.795*0.8</f>
        <v>2043.8360000000002</v>
      </c>
      <c r="C447" s="11" t="s">
        <v>1</v>
      </c>
    </row>
    <row r="448" spans="1:3" ht="12.75">
      <c r="A448" t="str">
        <f>'[2]Table 1'!B425&amp;": "&amp;'[2]Table 1'!C425</f>
        <v>LAD8N20: ДОПОЛНИТЕЛЬНЫЙ КОНТАКТНЫЙ БЛОК МГНОВЕННОГО ДЕЙСТВИЯ 2НО МОНТИРУЕТСЯ СБОКУ</v>
      </c>
      <c r="B448" s="4">
        <f>458.105*0.8</f>
        <v>366.48400000000004</v>
      </c>
      <c r="C448" s="11" t="s">
        <v>1</v>
      </c>
    </row>
    <row r="449" spans="1:3" ht="12.75">
      <c r="A449" t="str">
        <f>'[2]Table 1'!B426&amp;": "&amp;'[2]Table 1'!C426</f>
        <v>LAEN11: ДОПОЛНИТЕЛЬНЫЙ КОНТАКТНЫЙ БЛОК1НО+1НЗ</v>
      </c>
      <c r="B449" s="4">
        <f>163.27*0.8</f>
        <v>130.616</v>
      </c>
      <c r="C449" s="11" t="s">
        <v>1</v>
      </c>
    </row>
    <row r="450" spans="1:3" ht="12.75">
      <c r="A450" t="str">
        <f>'[2]Table 1'!B427&amp;": "&amp;'[2]Table 1'!C427</f>
        <v>29450: ДОП. КОНТАКТ СТАНД OF/SDE/SDV NS80/630</v>
      </c>
      <c r="B450" s="4">
        <f>1061*0.8</f>
        <v>848.8000000000001</v>
      </c>
      <c r="C450" s="11" t="s">
        <v>1</v>
      </c>
    </row>
    <row r="451" spans="1:3" ht="12.75">
      <c r="A451" t="str">
        <f>'[2]Table 1'!B428&amp;": "&amp;'[2]Table 1'!C428</f>
        <v>EZAUX11: КОМБИНИР. КОНТАКТ СИГНАЛ. (AX+AL) EZC100</v>
      </c>
      <c r="B451" s="4">
        <f>583*0.8</f>
        <v>466.40000000000003</v>
      </c>
      <c r="C451" s="11" t="s">
        <v>1</v>
      </c>
    </row>
    <row r="452" spans="1:3" ht="12.75">
      <c r="A452" t="str">
        <f>'[2]Table 1'!B429&amp;": "&amp;'[2]Table 1'!C429</f>
        <v>GVAD0110: КОНТАКТ СИГН.АВАР.ОТКЛ. НЗ+ДОП.КОНТ. НО</v>
      </c>
      <c r="B452" s="4">
        <f>665.895*0.8</f>
        <v>532.716</v>
      </c>
      <c r="C452" s="11" t="s">
        <v>1</v>
      </c>
    </row>
    <row r="453" spans="1:3" ht="12.75">
      <c r="A453" t="str">
        <f>'[2]Table 1'!B430&amp;": "&amp;'[2]Table 1'!C430</f>
        <v>GVAE11: ДОП. БЛОК КОНТАКТОВ НО+НЗ</v>
      </c>
      <c r="B453" s="4">
        <f>438.58*0.8</f>
        <v>350.86400000000003</v>
      </c>
      <c r="C453" s="11" t="s">
        <v>1</v>
      </c>
    </row>
    <row r="454" spans="1:3" ht="12.75">
      <c r="A454" t="str">
        <f>'[2]Table 1'!B431&amp;": "&amp;'[2]Table 1'!C431</f>
        <v>GVAN11: ДОПОЛНИТЕЛЬНЫЕ КОНТАКТЫ МГНОВЕННОГО ДЕЙСТВИЯ НО+НЗ</v>
      </c>
      <c r="B454" s="4">
        <f>386.29*0.8</f>
        <v>309.03200000000004</v>
      </c>
      <c r="C454" s="11" t="s">
        <v>1</v>
      </c>
    </row>
    <row r="455" spans="1:3" ht="12.75">
      <c r="A455" t="str">
        <f>'[2]Table 1'!B432&amp;": "&amp;'[2]Table 1'!C432</f>
        <v>GVAD1010: КОНТАКТ СИГН.АВАР.ОТКЛ. НО+ДОП.КОНТ. НО</v>
      </c>
      <c r="B455" s="4">
        <f>665.895*0.8</f>
        <v>532.716</v>
      </c>
      <c r="C455" s="11" t="s">
        <v>1</v>
      </c>
    </row>
    <row r="456" spans="1:3" ht="12.75">
      <c r="A456" t="str">
        <f>'[2]Table 1'!B433&amp;": "&amp;'[2]Table 1'!C433</f>
        <v>EZEAX: КОНТАКТ СИГНАЛИЗ. СОСТОЯНИЯ EZC250</v>
      </c>
      <c r="B456" s="4">
        <f>365.5*0.8</f>
        <v>292.40000000000003</v>
      </c>
      <c r="C456" s="11" t="s">
        <v>1</v>
      </c>
    </row>
    <row r="457" spans="1:3" ht="12.75">
      <c r="A457" t="str">
        <f>'[2]Table 1'!B434&amp;": "&amp;'[2]Table 1'!C434</f>
        <v>LADN31: ДОП. КОНТ. БЛОК 3НО+НЗ ФРОНТАЛЬНЫЙ МОНТАЖ КРЕПЛЕНИЕ С ПОМОЩЬЮ ВИНТОВЫХ ЗАЖИМОВ</v>
      </c>
      <c r="B457" s="4">
        <f>733.525*0.8</f>
        <v>586.82</v>
      </c>
      <c r="C457" s="11" t="s">
        <v>1</v>
      </c>
    </row>
    <row r="458" spans="1:3" ht="12.75">
      <c r="A458" t="str">
        <f>'[2]Table 1'!B435&amp;": "&amp;'[2]Table 1'!C435</f>
        <v>LADN02: ДОП. КОНТ. БЛОК 2НЗ ФРОНТАЛЬНЫЙ МОНТАЖ КРЕПЛЕНИЕ С ПОМОЩЬЮ ВИНТОВЫХ ЗАЖИМОВ</v>
      </c>
      <c r="B458" s="4">
        <f>419.06*0.8</f>
        <v>335.24800000000005</v>
      </c>
      <c r="C458" s="11" t="s">
        <v>1</v>
      </c>
    </row>
    <row r="459" spans="1:3" ht="12.75">
      <c r="A459" t="str">
        <f>'[2]Table 1'!B436&amp;": "&amp;'[2]Table 1'!C436</f>
        <v>LADN13: ДОП. КОНТ. БЛОК НО+3НЗ ФРОНТАЛЬНЫЙ МОНТАЖ КРЕПЛЕНИЕ С ПОМОЩЬЮ ВИНТОВЫХ ЗАЖИМОВ</v>
      </c>
      <c r="B459" s="4">
        <f>733.525*0.8</f>
        <v>586.82</v>
      </c>
      <c r="C459" s="11" t="s">
        <v>1</v>
      </c>
    </row>
    <row r="460" spans="1:3" ht="12.75">
      <c r="A460" t="str">
        <f>'[2]Table 1'!B437&amp;": "&amp;'[2]Table 1'!C437</f>
        <v>LADN20: ДОП. КОНТ. БЛОК 2НО ФРОНТАЛЬНЫЙ МОНТАЖ КРЕПЛЕНИЕ С ПОМОЩЬЮ ВИНТОВЫХ ЗАЖИМОВ</v>
      </c>
      <c r="B460" s="4">
        <f>425.33*0.8</f>
        <v>340.264</v>
      </c>
      <c r="C460" s="11" t="s">
        <v>1</v>
      </c>
    </row>
    <row r="461" spans="1:3" ht="12.75">
      <c r="A461" t="str">
        <f>'[2]Table 1'!B438&amp;": "&amp;'[2]Table 1'!C438</f>
        <v>LAEN22: ДОП. КОНТ. БЛОК 2НО+2НЗ ФРОНТАЛЬНЫЙ МОНТАЖ КРЕПЛЕНИЕ С ПОМОЩЬЮ ВИНТОВЫХ ЗАЖИМОВ</v>
      </c>
      <c r="B461" s="4">
        <f>164.45*0.8</f>
        <v>131.56</v>
      </c>
      <c r="C461" s="11" t="s">
        <v>1</v>
      </c>
    </row>
    <row r="462" spans="1:3" ht="12.75">
      <c r="A462" t="str">
        <f>'[2]Table 1'!B439&amp;": "&amp;'[2]Table 1'!C439</f>
        <v>LADN11: ДОП. КОНТ. БЛОК НО+НЗ ФР.МОНТ.ВИНТ</v>
      </c>
      <c r="B462" s="4">
        <f>414.175*0.8</f>
        <v>331.34000000000003</v>
      </c>
      <c r="C462" s="11" t="s">
        <v>1</v>
      </c>
    </row>
    <row r="463" spans="1:3" ht="12.75">
      <c r="A463" t="str">
        <f>'[2]Table 1'!B440&amp;": "&amp;'[2]Table 1'!C440</f>
        <v>LADN04: ДОП. КОНТ. БЛОК 2НЗ ФРОНТАЛЬНЫЙ МОНТАЖ КРЕПЛЕНИЕ С ПОМОЩЬЮ ВИНТОВЫХ ЗАЖИМОВ</v>
      </c>
      <c r="B463" s="4">
        <f>733.525*0.8</f>
        <v>586.82</v>
      </c>
      <c r="C463" s="11" t="s">
        <v>1</v>
      </c>
    </row>
    <row r="464" spans="1:3" ht="12.75">
      <c r="A464" t="str">
        <f>'[2]Table 1'!B441&amp;": "&amp;'[2]Table 1'!C441</f>
        <v>LADN22: ДОП. КОНТ. БЛОК 2НО+2НЗ ФРОНТАЛЬНЫЙ МОНТАЖ КРЕПЛЕНИЕ С ПОМОЩЬЮ ВИНТОВЫХ ЗАЖИМОВ</v>
      </c>
      <c r="B464" s="4">
        <f>741.2*0.8</f>
        <v>592.96</v>
      </c>
      <c r="C464" s="11" t="s">
        <v>1</v>
      </c>
    </row>
    <row r="465" spans="1:3" ht="12.75">
      <c r="A465" t="str">
        <f>'[2]Table 1'!B442&amp;": "&amp;'[2]Table 1'!C442</f>
        <v>LADN11: ДОП. КОНТ. БЛОК НО+НЗ ФРОНТАЛЬНЫЙ МОНТАЖ КРЕПЛЕНИЕ С ПОМОЩЬЮ ВИНТОВЫХ ЗАЖИМОВ</v>
      </c>
      <c r="B465" s="4">
        <f>414.175*0.8</f>
        <v>331.34000000000003</v>
      </c>
      <c r="C465" s="11" t="s">
        <v>1</v>
      </c>
    </row>
    <row r="466" spans="1:3" ht="12.75">
      <c r="A466" t="str">
        <f>'[2]Table 1'!B443&amp;": "&amp;'[2]Table 1'!C443</f>
        <v>LADN04: ДОП. КОНТ. БЛОК 2НЗ ФРОНТАЛЬНЫЙ МОНТАЖ КРЕПЛЕНИЕ С ПОМОЩЬЮ ВИНТОВЫХ ЗАЖИМОВ</v>
      </c>
      <c r="B466" s="4">
        <f>733.525*0.8</f>
        <v>586.82</v>
      </c>
      <c r="C466" s="11" t="s">
        <v>1</v>
      </c>
    </row>
    <row r="467" spans="1:3" ht="12.75">
      <c r="A467" t="str">
        <f>'[2]Table 1'!B444&amp;": "&amp;'[2]Table 1'!C444</f>
        <v>LADR2: ДОПОЛНИТЕЛЬНЫЙ КОНТАКТНЫЙ БЛОК C ВЫДЕРЖКОЙ ВРЕМЕНИ НА ОТКЛЮЧЕНИЕ 0.1…30C</v>
      </c>
      <c r="B467" s="4">
        <f>2806.51*0.8</f>
        <v>2245.208</v>
      </c>
      <c r="C467" s="11" t="s">
        <v>1</v>
      </c>
    </row>
    <row r="468" spans="1:3" ht="12.75">
      <c r="A468" t="str">
        <f>'[2]Table 1'!B445&amp;": "&amp;'[2]Table 1'!C445</f>
        <v>LADN22: ДОП. КОНТ. БЛОК 2НО+2НЗ ФРОНТАЛЬНЫЙ МОНТАЖ КРЕПЛЕНИЕ С ПОМОЩЬЮ ВИНТОВЫХ ЗАЖИМОВ</v>
      </c>
      <c r="B468" s="4">
        <f>741.2*0.8</f>
        <v>592.96</v>
      </c>
      <c r="C468" s="11" t="s">
        <v>1</v>
      </c>
    </row>
    <row r="469" spans="1:3" ht="12.75">
      <c r="A469" t="str">
        <f>'[2]Table 1'!B446&amp;": "&amp;'[2]Table 1'!C446</f>
        <v>LA1KN11: БЛОК ДОПОЛНИТЕЛЬНЫХ КОНТАКТОВ НО+НЗ ВИНТОВОЙ ЗАЖИМ</v>
      </c>
      <c r="B469" s="4">
        <f>262.87*0.8</f>
        <v>210.29600000000002</v>
      </c>
      <c r="C469" s="11" t="s">
        <v>1</v>
      </c>
    </row>
    <row r="470" spans="1:3" ht="12.75">
      <c r="A470" t="str">
        <f>'[2]Table 1'!B447&amp;": "&amp;'[2]Table 1'!C447</f>
        <v>LADN40: ДОП. КОНТ. БЛОК 4НО ФР.МОНТ. ВИНТ</v>
      </c>
      <c r="B470" s="4">
        <f>741.2*0.8</f>
        <v>592.96</v>
      </c>
      <c r="C470" s="11" t="s">
        <v>1</v>
      </c>
    </row>
    <row r="471" spans="1:3" ht="12.75">
      <c r="A471" t="str">
        <f>'[2]Table 1'!B448&amp;": "&amp;'[2]Table 1'!C448</f>
        <v>LA1KN04: БЛОК ДОПОЛНИТЕЛЬНЫХ КОНТАКТОВ 4НЗ ВИНТОВОЙ ЗАЖИМ</v>
      </c>
      <c r="B471" s="4">
        <f>461.59*0.8</f>
        <v>369.272</v>
      </c>
      <c r="C471" s="11" t="s">
        <v>1</v>
      </c>
    </row>
    <row r="472" spans="1:3" ht="12.75">
      <c r="A472" t="str">
        <f>'[2]Table 1'!B449&amp;": "&amp;'[2]Table 1'!C449</f>
        <v>LA1KN02: БЛОК ДОПОЛНИТЕЛЬНЫХ КОНТАКТОВ 2НЗ ВИНТОВОЙ ЗАЖИМ</v>
      </c>
      <c r="B472" s="4">
        <f>262.87*0.8</f>
        <v>210.29600000000002</v>
      </c>
      <c r="C472" s="11" t="s">
        <v>1</v>
      </c>
    </row>
    <row r="473" spans="1:3" ht="12.75">
      <c r="A473" t="str">
        <f>'[2]Table 1'!B450&amp;": "&amp;'[2]Table 1'!C450</f>
        <v>LADN40: ДОП. КОНТ. БЛОК 4HO ФРОНТАЛЬНЫЙ МОНТАЖ КРЕПЛЕНИЕ С ПОМОЩЬЮ ВИНТОВЫХЗАЖИМОВ</v>
      </c>
      <c r="B473" s="4">
        <f>741.2*0.8</f>
        <v>592.96</v>
      </c>
      <c r="C473" s="11" t="s">
        <v>1</v>
      </c>
    </row>
    <row r="474" spans="1:3" ht="12.75">
      <c r="A474" t="str">
        <f>'[2]Table 1'!B451&amp;": "&amp;'[2]Table 1'!C451</f>
        <v>LADN02: ДОП. КОНТ. БЛОК 2НЗ ФР.МОНТ. ВИНТ</v>
      </c>
      <c r="B474" s="4">
        <f>419.06*0.8</f>
        <v>335.24800000000005</v>
      </c>
      <c r="C474" s="11" t="s">
        <v>1</v>
      </c>
    </row>
    <row r="475" spans="1:3" ht="12.75">
      <c r="A475" t="str">
        <f>'[2]Table 1'!B452&amp;": "&amp;'[2]Table 1'!C452</f>
        <v>LAD4RCU: RC МОДУЛЬ ОГРАНИЧЕНИЯ КОММУТАЦИОННЫХ    ПЕРЕНАПРЯЖЕНИЙ АС 110…240V</v>
      </c>
      <c r="B475" s="4">
        <f>504.125*0.8</f>
        <v>403.3</v>
      </c>
      <c r="C475" s="11" t="s">
        <v>1</v>
      </c>
    </row>
    <row r="476" spans="1:3" ht="12.75">
      <c r="A476" t="str">
        <f>'[2]Table 1'!B453&amp;": "&amp;'[2]Table 1'!C453</f>
        <v>LAD4VU: ВАРИСТОР AC 110-250V</v>
      </c>
      <c r="B476" s="4">
        <f>488.79*0.8</f>
        <v>391.03200000000004</v>
      </c>
      <c r="C476" s="11" t="s">
        <v>1</v>
      </c>
    </row>
    <row r="477" spans="1:3" ht="12.75">
      <c r="A477" t="str">
        <f>'[2]Table 1'!B454&amp;": "&amp;'[2]Table 1'!C454</f>
        <v>GV1G09: КЛЕММНЫЙ БЛОК</v>
      </c>
      <c r="B477" s="4">
        <f>495.76*0.8</f>
        <v>396.608</v>
      </c>
      <c r="C477" s="11" t="s">
        <v>1</v>
      </c>
    </row>
    <row r="478" spans="1:3" ht="12.75">
      <c r="A478" t="str">
        <f>'[2]Table 1'!B455&amp;": "&amp;'[2]Table 1'!C455</f>
        <v>ABS2EA01EM: ИНТЕРФЕЙС ВХОДНОЙ СО СТАТИЧЕСКИМ ВЫХОДОМ, ШИРИНА 9,5ММ 230-240В 50ГЦ</v>
      </c>
      <c r="B478" s="4">
        <f>1767.715*0.8</f>
        <v>1414.172</v>
      </c>
      <c r="C478" s="11" t="s">
        <v>1</v>
      </c>
    </row>
    <row r="479" spans="1:3" ht="12.75">
      <c r="A479" t="str">
        <f>'[2]Table 1'!B456&amp;": "&amp;'[2]Table 1'!C456</f>
        <v>ABS2SA02MB: ИНТЕРФЕЙС ВЫХОДНОЙ СО СТАТИЧЕСКИМ ВЫХОДОМ, ШИРИНА 17,5ММ ~24-230В 3А</v>
      </c>
      <c r="B479" s="4">
        <f>2259.665*0.8</f>
        <v>1807.732</v>
      </c>
      <c r="C479" s="11" t="s">
        <v>1</v>
      </c>
    </row>
    <row r="480" spans="1:3" ht="12.75">
      <c r="A480" t="str">
        <f>'[2]Table 1'!B457&amp;": "&amp;'[2]Table 1'!C457</f>
        <v>ABS2EC01EB: ИНТЕРФЕЙС ВХОДНОЙ СО СТАТИЧЕСКИМ ВЫХОДОМ, ШИРИНА 9,5ММ 24В ПОСТ.ТОК</v>
      </c>
      <c r="B480" s="4">
        <f>1324.185*0.8</f>
        <v>1059.348</v>
      </c>
      <c r="C480" s="11" t="s">
        <v>1</v>
      </c>
    </row>
    <row r="481" spans="1:3" ht="12.75">
      <c r="A481" t="str">
        <f>'[2]Table 1'!B458&amp;": "&amp;'[2]Table 1'!C458</f>
        <v>ZBE201: КОНТАКТ НО</v>
      </c>
      <c r="B481" s="4">
        <f>213.465*0.8</f>
        <v>170.77200000000002</v>
      </c>
      <c r="C481" s="11" t="s">
        <v>1</v>
      </c>
    </row>
    <row r="482" spans="1:3" ht="12.75">
      <c r="A482" t="str">
        <f>'[2]Table 1'!B459&amp;": "&amp;'[2]Table 1'!C459</f>
        <v>ZBE1024: БЛОК-КОНТ. РАЗ'ЁМ 1НС</v>
      </c>
      <c r="B482" s="4">
        <f>162.84*0.8</f>
        <v>130.27200000000002</v>
      </c>
      <c r="C482" s="11" t="s">
        <v>1</v>
      </c>
    </row>
    <row r="483" spans="1:3" ht="12.75">
      <c r="A483" t="str">
        <f>'[2]Table 1'!B460&amp;": "&amp;'[2]Table 1'!C460</f>
        <v>ZBE202: КОНТАКТ НЗ</v>
      </c>
      <c r="B483" s="4">
        <f>213.465*0.8</f>
        <v>170.77200000000002</v>
      </c>
      <c r="C483" s="11" t="s">
        <v>1</v>
      </c>
    </row>
    <row r="484" spans="1:3" ht="12.75">
      <c r="A484" t="str">
        <f>'[2]Table 1'!B461&amp;": "&amp;'[2]Table 1'!C461</f>
        <v>ZBE1014: БЛОК-КОНТ. РАЗ'ЁМ 1НО</v>
      </c>
      <c r="B484" s="4">
        <f>162.84*0.8</f>
        <v>130.27200000000002</v>
      </c>
      <c r="C484" s="11" t="s">
        <v>1</v>
      </c>
    </row>
    <row r="485" spans="1:3" ht="12.75">
      <c r="A485" t="str">
        <f>'[2]Table 1'!B462&amp;": "&amp;'[2]Table 1'!C462</f>
        <v>ZENL1121: БЛОК-КОНТАКТ 1НЗ</v>
      </c>
      <c r="B485" s="4">
        <f>133.47*0.8</f>
        <v>106.77600000000001</v>
      </c>
      <c r="C485" s="11" t="s">
        <v>1</v>
      </c>
    </row>
    <row r="486" spans="1:3" ht="12.75">
      <c r="A486" t="str">
        <f>'[2]Table 1'!B463&amp;": "&amp;'[2]Table 1'!C463</f>
        <v>ZBE101: БЛОК-КОНТ. ДЛЯ ВИНТ. КРЕПЛЕНИЯ 1НО</v>
      </c>
      <c r="B486" s="4">
        <f>83.14*0.8</f>
        <v>66.512</v>
      </c>
      <c r="C486" s="11" t="s">
        <v>1</v>
      </c>
    </row>
    <row r="487" spans="1:3" ht="12.75">
      <c r="A487" t="str">
        <f>'[2]Table 1'!B464&amp;": "&amp;'[2]Table 1'!C464</f>
        <v>ZBE102: БЛОК-КОНТ.С КЛЕММ.ЗАЖ. ПОД ВИНТ 1НЗ</v>
      </c>
      <c r="B487" s="4">
        <f>83.14*0.8</f>
        <v>66.512</v>
      </c>
      <c r="C487" s="11" t="s">
        <v>1</v>
      </c>
    </row>
    <row r="488" spans="1:3" ht="12.75">
      <c r="A488" t="str">
        <f>'[2]Table 1'!B465&amp;": "&amp;'[2]Table 1'!C465</f>
        <v>16074: АМПЕРМЕТР АНАЛОГ. 96Х96</v>
      </c>
      <c r="B488" s="4">
        <f>2325.225*0.8</f>
        <v>1860.18</v>
      </c>
      <c r="C488" s="11" t="s">
        <v>1</v>
      </c>
    </row>
    <row r="489" spans="1:3" ht="12.75">
      <c r="A489" t="str">
        <f>'[2]Table 1'!B466&amp;": "&amp;'[2]Table 1'!C466</f>
        <v>33110: MODBUS ВНЕШНИЙ COM МОДУЛЬ ДЛЯ ШАССИ</v>
      </c>
      <c r="B489" s="4">
        <f>22045*0.8</f>
        <v>17636</v>
      </c>
      <c r="C489" s="11" t="s">
        <v>1</v>
      </c>
    </row>
    <row r="490" spans="1:3" ht="12.75">
      <c r="A490" t="str">
        <f>'[2]Table 1'!B467&amp;": "&amp;'[2]Table 1'!C467</f>
        <v>TSXDSY16R5: 16 ДИСКР.ВЫХ. =24В 3А/24-240VAC 3А, РЕЛЕ, КЛЕММНИК</v>
      </c>
      <c r="B490" s="4">
        <f>10359.005*0.8</f>
        <v>8287.204</v>
      </c>
      <c r="C490" s="11" t="s">
        <v>1</v>
      </c>
    </row>
    <row r="491" spans="1:3" ht="12.75">
      <c r="A491" t="str">
        <f>'[2]Table 1'!B468&amp;": "&amp;'[2]Table 1'!C468</f>
        <v>170ADM35010: MOMENTUM ДИСКРЕТН., 16 ВХ. / 16 ТРАНЗИСТ.ВЫХ., 0.5A (2X8), =24В</v>
      </c>
      <c r="B491" s="4">
        <f>11856.85*0.8</f>
        <v>9485.480000000001</v>
      </c>
      <c r="C491" s="11" t="s">
        <v>1</v>
      </c>
    </row>
    <row r="492" spans="1:3" ht="12.75">
      <c r="A492" t="str">
        <f>'[2]Table 1'!B469&amp;": "&amp;'[2]Table 1'!C469</f>
        <v>LUCA05FU: БЛОК УПР СТАН 1,25-5A 110-240V CL10 3P</v>
      </c>
      <c r="B492" s="4">
        <f>2630.8*0.8</f>
        <v>2104.6400000000003</v>
      </c>
      <c r="C492" s="11" t="s">
        <v>1</v>
      </c>
    </row>
    <row r="493" spans="1:3" ht="12.75">
      <c r="A493" t="str">
        <f>'[2]Table 1'!B470&amp;": "&amp;'[2]Table 1'!C470</f>
        <v>LUCB1XBL: БЛОК УПР УСОВ 0,35-1,4A 24VDC CL10 3P</v>
      </c>
      <c r="B493" s="4">
        <f>2542.945*0.8</f>
        <v>2034.3560000000002</v>
      </c>
      <c r="C493" s="11" t="s">
        <v>1</v>
      </c>
    </row>
    <row r="494" spans="1:3" ht="12.75">
      <c r="A494" t="str">
        <f>'[2]Table 1'!B471&amp;": "&amp;'[2]Table 1'!C471</f>
        <v>LUCC1XBL: БЛОК УПР УСОВ 0,35-1,4A 24VDC CL10 1P</v>
      </c>
      <c r="B494" s="4">
        <f>2505.985*0.8</f>
        <v>2004.7880000000002</v>
      </c>
      <c r="C494" s="11" t="s">
        <v>1</v>
      </c>
    </row>
    <row r="495" spans="1:3" ht="12.75">
      <c r="A495" t="str">
        <f>'[2]Table 1'!B472&amp;": "&amp;'[2]Table 1'!C472</f>
        <v>LULC033: МОДУЛЬ MODBUS</v>
      </c>
      <c r="B495" s="4">
        <f>6772.575*0.8</f>
        <v>5418.06</v>
      </c>
      <c r="C495" s="11" t="s">
        <v>1</v>
      </c>
    </row>
    <row r="496" spans="1:3" ht="12.75">
      <c r="A496" t="str">
        <f>'[2]Table 1'!B473&amp;": "&amp;'[2]Table 1'!C473</f>
        <v>TSXCANTDM4: CANOPEN TAP С 4 ПОРТАМИ SUB-D 9P</v>
      </c>
      <c r="B496" s="4">
        <f>3014.515*0.8</f>
        <v>2411.612</v>
      </c>
      <c r="C496" s="11" t="s">
        <v>1</v>
      </c>
    </row>
    <row r="497" spans="1:3" ht="12.75">
      <c r="A497" t="str">
        <f>'[2]Table 1'!B474&amp;": "&amp;'[2]Table 1'!C474</f>
        <v>TSXCUSB485: КОНВЕРТОР USB – RS485</v>
      </c>
      <c r="B497" s="4">
        <f>3996.685*0.8</f>
        <v>3197.348</v>
      </c>
      <c r="C497" s="11" t="s">
        <v>1</v>
      </c>
    </row>
    <row r="498" spans="1:3" ht="12.75">
      <c r="A498" t="str">
        <f>'[2]Table 1'!B475&amp;": "&amp;'[2]Table 1'!C475</f>
        <v>TSXCUSB232: КОНВЕРТОР USB – RS232</v>
      </c>
      <c r="B498" s="4">
        <f>3996.685*0.8</f>
        <v>3197.348</v>
      </c>
      <c r="C498" s="11" t="s">
        <v>1</v>
      </c>
    </row>
    <row r="499" spans="1:3" ht="12.75">
      <c r="A499" t="str">
        <f>'[2]Table 1'!B476&amp;": "&amp;'[2]Table 1'!C476</f>
        <v>AR1SB3: ДЕРЖАТЕЛЬ МАРКИРОВКИ НАБОРН САМОКЛЕЮЩ</v>
      </c>
      <c r="B499" s="4">
        <f>39.785*0.8</f>
        <v>31.828</v>
      </c>
      <c r="C499" s="11" t="s">
        <v>1</v>
      </c>
    </row>
    <row r="500" spans="1:3" ht="12.75">
      <c r="A500" t="str">
        <f>'[2]Table 1'!B477&amp;": "&amp;'[2]Table 1'!C477</f>
        <v>NSYTRV42SF5: КЛЕММНИК ВИНТ,4ММ2,С ДЕРЖАТЕЛЕМ- РАЪЕД ПЛАВКОГО ПРЕДОХРАНИТЕЛЯ 5*20 ИЛИ 5*25</v>
      </c>
      <c r="B500" s="4">
        <f>184.26*0.8</f>
        <v>147.408</v>
      </c>
      <c r="C500" s="11" t="s">
        <v>1</v>
      </c>
    </row>
    <row r="501" spans="1:3" ht="12.75">
      <c r="A501" t="str">
        <f>'[2]Table 1'!B478&amp;": "&amp;'[2]Table 1'!C478</f>
        <v>ABE7FU630: TELEFAST ПЛАВКИЙ ПРЕДОХРАНИТЕЛЬ 5X20, 250В, 6,3А</v>
      </c>
      <c r="B501" s="4">
        <f>30.36*0.8</f>
        <v>24.288</v>
      </c>
      <c r="C501" s="11" t="s">
        <v>1</v>
      </c>
    </row>
    <row r="502" spans="1:3" ht="12.75">
      <c r="A502" t="str">
        <f>'[2]Table 1'!B479&amp;": "&amp;'[2]Table 1'!C479</f>
        <v>ABE7FU050: TELEFAST ПЛАВКИЙ ПРЕДОХРАНИТЕЛЬ 5X20, 250В, 0,5А</v>
      </c>
      <c r="B502" s="4">
        <f>30.36*0.8</f>
        <v>24.288</v>
      </c>
      <c r="C502" s="11" t="s">
        <v>1</v>
      </c>
    </row>
    <row r="503" spans="1:3" ht="12.75">
      <c r="A503" t="str">
        <f>'[2]Table 1'!B480&amp;": "&amp;'[2]Table 1'!C480</f>
        <v>ABE7FU400: TELEFAST ПЛАВКИЙ ПРЕДОХРАНИТЕЛЬ 5X20, 250В, 4А</v>
      </c>
      <c r="B503" s="4">
        <f>30.36*0.8</f>
        <v>24.288</v>
      </c>
      <c r="C503" s="11" t="s">
        <v>1</v>
      </c>
    </row>
    <row r="504" spans="1:3" ht="12.75">
      <c r="A504" t="str">
        <f>'[2]Table 1'!B481&amp;": "&amp;'[2]Table 1'!C481</f>
        <v>ABE7FU200: TELEFAST ПЛАВКИЙ ПРЕДОХРАНИТЕЛЬ 5X20, 250В, 2А</v>
      </c>
      <c r="B504" s="4">
        <f>30.36*0.8</f>
        <v>24.288</v>
      </c>
      <c r="C504" s="11" t="s">
        <v>1</v>
      </c>
    </row>
    <row r="505" spans="1:3" ht="12.75">
      <c r="A505" t="str">
        <f>'[2]Table 1'!B482&amp;": "&amp;'[2]Table 1'!C482</f>
        <v>ABE7FU100: TELEFAST ПЛАВКИЙ ПРЕДОХРАНИТЕЛЬ 5X20, 250В, 1А</v>
      </c>
      <c r="B505" s="4">
        <f>30.36*0.8</f>
        <v>24.288</v>
      </c>
      <c r="C505" s="11" t="s">
        <v>1</v>
      </c>
    </row>
    <row r="506" spans="1:3" ht="12.75">
      <c r="A506" t="str">
        <f>'[2]Table 1'!B483&amp;": "&amp;'[2]Table 1'!C483</f>
        <v>GS1JD3: ВЫКЛЮЧАТЕЛЬ-РАЗЪЕДИНИТЕЛЬ- ПРЕДОХРАНИТЕЛЬ 3X100A 22X58</v>
      </c>
      <c r="B506" s="4">
        <f>12389.08*0.8</f>
        <v>9911.264000000001</v>
      </c>
      <c r="C506" s="11" t="s">
        <v>1</v>
      </c>
    </row>
    <row r="507" spans="1:3" ht="12.75">
      <c r="A507" t="str">
        <f>'[2]Table 1'!B484&amp;": "&amp;'[2]Table 1'!C484</f>
        <v>NSYTRV42SF5LD: КЛЕММНИК ВИНТ,ПРОВОД 4ММ2,С ДЕРЖАТЕЛЕМ-РАЪЕД ПЛАВК ПРЕДОХР 5*20/5*25,СВТД 12-24В</v>
      </c>
      <c r="B507" s="4">
        <f>378.33*0.8</f>
        <v>302.664</v>
      </c>
      <c r="C507" s="11" t="s">
        <v>1</v>
      </c>
    </row>
    <row r="508" spans="1:3" ht="12.75">
      <c r="A508" t="str">
        <f>'[2]Table 1'!B485&amp;": "&amp;'[2]Table 1'!C485</f>
        <v>NSYLAMCF: КОМПАКТНАЯ ЛАМПА С РОЗЕТКОЙ VDE</v>
      </c>
      <c r="B508" s="4">
        <f>3907.495*0.8</f>
        <v>3125.996</v>
      </c>
      <c r="C508" s="11" t="s">
        <v>1</v>
      </c>
    </row>
    <row r="509" spans="1:3" ht="12.75">
      <c r="A509" t="str">
        <f>'[2]Table 1'!B486&amp;": "&amp;'[2]Table 1'!C486</f>
        <v>NSYLAMCS: КОМПАКТНАЯ ЛАМПА С РОЗЕТКОЙ VDE</v>
      </c>
      <c r="B509" s="4">
        <f>3989.775*0.8</f>
        <v>3191.82</v>
      </c>
      <c r="C509" s="11" t="s">
        <v>1</v>
      </c>
    </row>
    <row r="510" spans="1:3" ht="12.75">
      <c r="A510" t="str">
        <f>'[2]Table 1'!B487&amp;": "&amp;'[2]Table 1'!C487</f>
        <v>A9F79125: АВТ. ВЫКЛ.iC60N 1П 25A C</v>
      </c>
      <c r="B510" s="4">
        <f>254.2*0.8</f>
        <v>203.36</v>
      </c>
      <c r="C510" s="11" t="s">
        <v>1</v>
      </c>
    </row>
    <row r="511" spans="1:3" ht="12.75">
      <c r="A511" t="str">
        <f>'[2]Table 1'!B488&amp;": "&amp;'[2]Table 1'!C488</f>
        <v>15020DEK: Диф. автомат 4Р 16А 30мА тип AC х-ка С ДИФ-101 4,5кА DE</v>
      </c>
      <c r="B511" s="4">
        <f>454.59*0.8</f>
        <v>363.672</v>
      </c>
      <c r="C511" s="11" t="s">
        <v>1</v>
      </c>
    </row>
    <row r="512" spans="1:3" ht="12.75">
      <c r="A512" t="str">
        <f>'[2]Table 1'!B489&amp;": "&amp;'[2]Table 1'!C489</f>
        <v>15045DEK: Диф. автомат 4Р 25А 300мА тип AC х-ка С ДИФ-101 4,5кА D</v>
      </c>
      <c r="B512" s="4">
        <f>594.77*0.8</f>
        <v>475.81600000000003</v>
      </c>
      <c r="C512" s="11" t="s">
        <v>1</v>
      </c>
    </row>
    <row r="513" spans="1:3" ht="12.75">
      <c r="A513" t="str">
        <f>'[2]Table 1'!B490&amp;": "&amp;'[2]Table 1'!C490</f>
        <v>A9F74102: АВТ. ВЫКЛ.iC60N 1П 2A C</v>
      </c>
      <c r="B513" s="4">
        <f>820.08*0.8</f>
        <v>656.0640000000001</v>
      </c>
      <c r="C513" s="11" t="s">
        <v>1</v>
      </c>
    </row>
    <row r="514" spans="1:3" ht="12.75">
      <c r="A514" t="str">
        <f>'[2]Table 1'!B491&amp;": "&amp;'[2]Table 1'!C491</f>
        <v>A9F79106: АВТ. ВЫКЛ.iC60N 1П 6A C</v>
      </c>
      <c r="B514" s="4">
        <f>291.925*0.8</f>
        <v>233.54000000000002</v>
      </c>
      <c r="C514" s="11" t="s">
        <v>1</v>
      </c>
    </row>
    <row r="515" spans="1:3" ht="12.75">
      <c r="A515" t="str">
        <f>'[2]Table 1'!B492&amp;": "&amp;'[2]Table 1'!C492</f>
        <v>14086DEK: УЗО 4P 32А 100мА AC УЗО-03 6кА DEKraft</v>
      </c>
      <c r="B515" s="4">
        <f>704.185*0.8</f>
        <v>563.348</v>
      </c>
      <c r="C515" s="11" t="s">
        <v>1</v>
      </c>
    </row>
    <row r="516" spans="1:3" ht="12.75">
      <c r="A516" t="str">
        <f>'[2]Table 1'!B493&amp;": "&amp;'[2]Table 1'!C493</f>
        <v>A9A15310: ЩИТ.РОЗ. iPC DIN 2П+T 16A 250В НЕМ</v>
      </c>
      <c r="B516" s="4">
        <f>401.93*0.8</f>
        <v>321.54400000000004</v>
      </c>
      <c r="C516" s="11" t="s">
        <v>1</v>
      </c>
    </row>
    <row r="517" spans="1:3" ht="12.75">
      <c r="A517" t="str">
        <f>'[2]Table 1'!B494&amp;": "&amp;'[2]Table 1'!C494</f>
        <v>A9F79110: АВТ. ВЫКЛ.iC60N 1П 10A C</v>
      </c>
      <c r="B517" s="4">
        <f>232.825*0.8</f>
        <v>186.26</v>
      </c>
      <c r="C517" s="11" t="s">
        <v>1</v>
      </c>
    </row>
    <row r="518" spans="1:3" ht="12.75">
      <c r="A518" t="str">
        <f>'[2]Table 1'!B495&amp;": "&amp;'[2]Table 1'!C495</f>
        <v>A9F79120: АВТ. ВЫКЛ.iC60N 1П 20A C</v>
      </c>
      <c r="B518" s="4">
        <f>261.915*0.8</f>
        <v>209.53200000000004</v>
      </c>
      <c r="C518" s="11" t="s">
        <v>1</v>
      </c>
    </row>
    <row r="519" spans="1:3" ht="12.75">
      <c r="A519" t="str">
        <f>'[2]Table 1'!B496&amp;": "&amp;'[2]Table 1'!C496</f>
        <v>A9F75106: АВТ. ВЫКЛ.iC60N 1П 6A D</v>
      </c>
      <c r="B519" s="4">
        <f>1018.575*0.8</f>
        <v>814.8600000000001</v>
      </c>
      <c r="C519" s="11" t="s">
        <v>1</v>
      </c>
    </row>
    <row r="520" spans="1:3" ht="12.75">
      <c r="A520" t="str">
        <f>'[2]Table 1'!B497&amp;": "&amp;'[2]Table 1'!C497</f>
        <v>A9F79116: АВТ. ВЫКЛ.iC60N 1П 16A C</v>
      </c>
      <c r="B520" s="4">
        <f>203.43*0.8</f>
        <v>162.74400000000003</v>
      </c>
      <c r="C520" s="11" t="s">
        <v>1</v>
      </c>
    </row>
    <row r="521" spans="1:3" ht="12.75">
      <c r="A521" t="str">
        <f>'[2]Table 1'!B498&amp;": "&amp;'[2]Table 1'!C498</f>
        <v>14052DEK: УЗО 2P 10А 30мА AC УЗО-03 6кА DEKraft</v>
      </c>
      <c r="B521" s="4">
        <f>389.21*0.8</f>
        <v>311.368</v>
      </c>
      <c r="C521" s="11" t="s">
        <v>1</v>
      </c>
    </row>
    <row r="522" spans="1:3" ht="12.75">
      <c r="A522" t="str">
        <f>'[2]Table 1'!B499&amp;": "&amp;'[2]Table 1'!C499</f>
        <v>A9F75116: АВТ. ВЫКЛ.iC60N 1П 16A D</v>
      </c>
      <c r="B522" s="4">
        <f>837.87*0.8</f>
        <v>670.296</v>
      </c>
      <c r="C522" s="11" t="s">
        <v>1</v>
      </c>
    </row>
    <row r="523" spans="1:3" ht="12.75">
      <c r="A523" t="str">
        <f>'[2]Table 1'!B500&amp;": "&amp;'[2]Table 1'!C500</f>
        <v>11053DEK: ВА101-1Р-010А-C_авт. выкл.</v>
      </c>
      <c r="B523" s="4">
        <f>38.675*0.8</f>
        <v>30.939999999999998</v>
      </c>
      <c r="C523" s="11" t="s">
        <v>1</v>
      </c>
    </row>
    <row r="524" spans="1:3" ht="12.75">
      <c r="A524" t="str">
        <f>'[2]Table 1'!B501&amp;": "&amp;'[2]Table 1'!C501</f>
        <v>11050DEK: ВА101-1Р-002А-C_авт. выкл.</v>
      </c>
      <c r="B524" s="4">
        <f>49.115*0.8</f>
        <v>39.292</v>
      </c>
      <c r="C524" s="11" t="s">
        <v>1</v>
      </c>
    </row>
    <row r="525" spans="1:3" ht="12.75">
      <c r="A525" t="str">
        <f>'[2]Table 1'!B502&amp;": "&amp;'[2]Table 1'!C502</f>
        <v>14053DEK: УЗО 2P 16А 30мА AC УЗО-03 6кА DEKraft</v>
      </c>
      <c r="B525" s="4">
        <f>351.665*0.8</f>
        <v>281.33200000000005</v>
      </c>
      <c r="C525" s="11" t="s">
        <v>1</v>
      </c>
    </row>
    <row r="526" spans="1:3" ht="12.75">
      <c r="A526" t="str">
        <f>'[2]Table 1'!B503&amp;": "&amp;'[2]Table 1'!C503</f>
        <v>16005DEK: Диф. автомат 1Р+N 25А 30мА тип AC х-ка С ДИФ-102 4,5кА</v>
      </c>
      <c r="B526" s="4">
        <f>318.05*0.8</f>
        <v>254.44000000000003</v>
      </c>
      <c r="C526" s="11" t="s">
        <v>1</v>
      </c>
    </row>
    <row r="527" spans="1:3" ht="12.75">
      <c r="A527" t="str">
        <f>'[2]Table 1'!B504&amp;": "&amp;'[2]Table 1'!C504</f>
        <v>14077DEK: УЗО 4P 16А 30мА AC УЗО-03 6кА DEKraft</v>
      </c>
      <c r="B527" s="4">
        <f>481.34*0.8</f>
        <v>385.072</v>
      </c>
      <c r="C527" s="11" t="s">
        <v>1</v>
      </c>
    </row>
    <row r="528" spans="1:3" ht="12.75">
      <c r="A528" t="str">
        <f>'[2]Table 1'!B505&amp;": "&amp;'[2]Table 1'!C505</f>
        <v>14078DEK: УЗО 4P 25А 30мА AC УЗО-03 6кА DEKraft</v>
      </c>
      <c r="B528" s="4">
        <f>481.34*0.8</f>
        <v>385.072</v>
      </c>
      <c r="C528" s="11" t="s">
        <v>1</v>
      </c>
    </row>
    <row r="529" spans="1:3" ht="12.75">
      <c r="A529" t="str">
        <f>'[2]Table 1'!B506&amp;": "&amp;'[2]Table 1'!C506</f>
        <v>15024DEK: Диф. автомат 4Р 40А 30мА тип AC х-ка С ДИФ-101 4,5кА DE</v>
      </c>
      <c r="B529" s="4">
        <f>397.215*0.8</f>
        <v>317.772</v>
      </c>
      <c r="C529" s="11" t="s">
        <v>1</v>
      </c>
    </row>
    <row r="530" spans="1:3" ht="12.75">
      <c r="A530" t="str">
        <f>'[2]Table 1'!B507&amp;": "&amp;'[2]Table 1'!C507</f>
        <v>A9S60132: ВЫКЛЮЧАТЕЛЬ НАГРУЗКИ iSW 1П 32A</v>
      </c>
      <c r="B530" s="4">
        <f>461.295*0.8</f>
        <v>369.03600000000006</v>
      </c>
      <c r="C530" s="11" t="s">
        <v>1</v>
      </c>
    </row>
    <row r="531" spans="1:3" ht="12.75">
      <c r="A531" t="str">
        <f>'[2]Table 1'!B508&amp;": "&amp;'[2]Table 1'!C508</f>
        <v>A9A26981: 20 КРЫШЕК ВИНТОВ ПО 4П (РАЗДЕЛЯЕМЫЕ) ДЛЯ iC60 iID</v>
      </c>
      <c r="B531" s="4">
        <f>2801.525*0.8</f>
        <v>2241.2200000000003</v>
      </c>
      <c r="C531" s="11" t="s">
        <v>1</v>
      </c>
    </row>
    <row r="532" spans="1:3" ht="12.75">
      <c r="A532" t="str">
        <f>'[2]Table 1'!B509&amp;": "&amp;'[2]Table 1'!C509</f>
        <v>A9F74201: АВТ. ВЫКЛ.iC60N 2П 1A C</v>
      </c>
      <c r="B532" s="4">
        <f>1967.395*0.8</f>
        <v>1573.9160000000002</v>
      </c>
      <c r="C532" s="11" t="s">
        <v>1</v>
      </c>
    </row>
    <row r="533" spans="1:3" ht="12.75">
      <c r="A533" t="str">
        <f>'[2]Table 1'!B510&amp;": "&amp;'[2]Table 1'!C510</f>
        <v>A9F73204: АВТ. ВЫКЛ.iC60N 2П 4A B</v>
      </c>
      <c r="B533" s="4">
        <f>2283.06*0.8</f>
        <v>1826.448</v>
      </c>
      <c r="C533" s="11" t="s">
        <v>1</v>
      </c>
    </row>
    <row r="534" spans="1:3" ht="12.75">
      <c r="A534" t="str">
        <f>'[2]Table 1'!B511&amp;": "&amp;'[2]Table 1'!C511</f>
        <v>11113DEK: ВА101-2Р-010А-D_авт. выкл.</v>
      </c>
      <c r="B534" s="4">
        <f>100.85*0.8</f>
        <v>80.68</v>
      </c>
      <c r="C534" s="11" t="s">
        <v>1</v>
      </c>
    </row>
    <row r="535" spans="1:3" ht="12.75">
      <c r="A535" t="str">
        <f>'[2]Table 1'!B512&amp;": "&amp;'[2]Table 1'!C512</f>
        <v>A9F73201: АВТ. ВЫКЛ.iC60N 2П 1A B</v>
      </c>
      <c r="B535" s="4">
        <f>2668.02*0.8</f>
        <v>2134.416</v>
      </c>
      <c r="C535" s="11" t="s">
        <v>1</v>
      </c>
    </row>
    <row r="536" spans="1:3" ht="12.75">
      <c r="A536" t="str">
        <f>'[2]Table 1'!B513&amp;": "&amp;'[2]Table 1'!C513</f>
        <v>11064DEK: ВА101-2Р-006А-C_авт. выкл.</v>
      </c>
      <c r="B536" s="4">
        <f>78.21*0.8</f>
        <v>62.568</v>
      </c>
      <c r="C536" s="11" t="s">
        <v>1</v>
      </c>
    </row>
    <row r="537" spans="1:3" ht="12.75">
      <c r="A537" t="str">
        <f>'[2]Table 1'!B514&amp;": "&amp;'[2]Table 1'!C514</f>
        <v>A9F79210: АВТ. ВЫКЛ.iC60N 2П 10A C</v>
      </c>
      <c r="B537" s="4">
        <f>681.995*0.8</f>
        <v>545.596</v>
      </c>
      <c r="C537" s="11" t="s">
        <v>1</v>
      </c>
    </row>
    <row r="538" spans="1:3" ht="12.75">
      <c r="A538" t="str">
        <f>'[2]Table 1'!B515&amp;": "&amp;'[2]Table 1'!C515</f>
        <v>11065DEK: ВА101-2Р-010А-C_авт. выкл.</v>
      </c>
      <c r="B538" s="4">
        <f>69.005*0.8</f>
        <v>55.204</v>
      </c>
      <c r="C538" s="11" t="s">
        <v>1</v>
      </c>
    </row>
    <row r="539" spans="1:3" ht="12.75">
      <c r="A539" t="str">
        <f>'[2]Table 1'!B516&amp;": "&amp;'[2]Table 1'!C516</f>
        <v>A9F79216: АВТ. ВЫКЛ.iC60N 2П 16A C</v>
      </c>
      <c r="B539" s="4">
        <f>626.035*0.8</f>
        <v>500.828</v>
      </c>
      <c r="C539" s="11" t="s">
        <v>1</v>
      </c>
    </row>
    <row r="540" spans="1:3" ht="12.75">
      <c r="A540" t="str">
        <f>'[2]Table 1'!B517&amp;": "&amp;'[2]Table 1'!C517</f>
        <v>11065DEK: ВА101-2Р-010А-C_авт. выкл.</v>
      </c>
      <c r="B540" s="4">
        <f>69.005*0.8</f>
        <v>55.204</v>
      </c>
      <c r="C540" s="11" t="s">
        <v>1</v>
      </c>
    </row>
    <row r="541" spans="1:3" ht="12.75">
      <c r="A541" t="str">
        <f>'[2]Table 1'!B518&amp;": "&amp;'[2]Table 1'!C518</f>
        <v>11066DEK: Авт. выкл. 2Р 16А х-ка C ВА-101 4,5кА DEKraft</v>
      </c>
      <c r="B541" s="4">
        <f>77.2*0.8</f>
        <v>61.760000000000005</v>
      </c>
      <c r="C541" s="11" t="s">
        <v>1</v>
      </c>
    </row>
    <row r="542" spans="1:3" ht="12.75">
      <c r="A542" t="str">
        <f>'[2]Table 1'!B519&amp;": "&amp;'[2]Table 1'!C519</f>
        <v>A9F79220: АВТ. ВЫКЛ.iC60N 2П 20A C</v>
      </c>
      <c r="B542" s="4">
        <f>818.46*0.8</f>
        <v>654.768</v>
      </c>
      <c r="C542" s="11" t="s">
        <v>1</v>
      </c>
    </row>
    <row r="543" spans="1:3" ht="12.75">
      <c r="A543" t="str">
        <f>'[2]Table 1'!B520&amp;": "&amp;'[2]Table 1'!C520</f>
        <v>A9F74204: АВТ. ВЫКЛ.iC60N 2П 4A C</v>
      </c>
      <c r="B543" s="4">
        <f>1949.83*0.8</f>
        <v>1559.864</v>
      </c>
      <c r="C543" s="11" t="s">
        <v>1</v>
      </c>
    </row>
    <row r="544" spans="1:3" ht="12.75">
      <c r="A544" t="str">
        <f>'[2]Table 1'!B521&amp;": "&amp;'[2]Table 1'!C521</f>
        <v>A9F78210: АВТ. ВЫКЛ.iC60N 2П 10A B</v>
      </c>
      <c r="B544" s="4">
        <f>738.895*0.8</f>
        <v>591.116</v>
      </c>
      <c r="C544" s="11" t="s">
        <v>1</v>
      </c>
    </row>
    <row r="545" spans="1:3" ht="12.75">
      <c r="A545" t="str">
        <f>'[2]Table 1'!B522&amp;": "&amp;'[2]Table 1'!C522</f>
        <v>A9F78206: АВТ. ВЫКЛ.iC60N 2П 6A B</v>
      </c>
      <c r="B545" s="4">
        <f>755.005*0.8</f>
        <v>604.004</v>
      </c>
      <c r="C545" s="11" t="s">
        <v>1</v>
      </c>
    </row>
    <row r="546" spans="1:3" ht="12.75">
      <c r="A546" t="str">
        <f>'[2]Table 1'!B523&amp;": "&amp;'[2]Table 1'!C523</f>
        <v>A9F73202: АВТ. ВЫКЛ.iC60N 2П 2A B</v>
      </c>
      <c r="B546" s="4">
        <f>660.935*0.8</f>
        <v>528.7479999999999</v>
      </c>
      <c r="C546" s="11" t="s">
        <v>1</v>
      </c>
    </row>
    <row r="547" spans="1:3" ht="12.75">
      <c r="A547" t="str">
        <f>'[2]Table 1'!B524&amp;": "&amp;'[2]Table 1'!C524</f>
        <v>A9F79316: АВТ. ВЫКЛ.iC60N 3П 16A C</v>
      </c>
      <c r="B547" s="4">
        <f>782.705*0.8</f>
        <v>626.1640000000001</v>
      </c>
      <c r="C547" s="11" t="s">
        <v>1</v>
      </c>
    </row>
    <row r="548" spans="1:3" ht="12.75">
      <c r="A548" t="str">
        <f>'[2]Table 1'!B525&amp;": "&amp;'[2]Table 1'!C525</f>
        <v>A9F79340: АВТ. ВЫКЛ.iC60N 3П 40A C</v>
      </c>
      <c r="B548" s="4">
        <f>1105.265*0.8</f>
        <v>884.2120000000001</v>
      </c>
      <c r="C548" s="11" t="s">
        <v>1</v>
      </c>
    </row>
    <row r="549" spans="1:3" ht="12.75">
      <c r="A549" t="str">
        <f>'[2]Table 1'!B526&amp;": "&amp;'[2]Table 1'!C526</f>
        <v>A9F74304: АВТ. ВЫКЛ.iC60N 3П 4A C</v>
      </c>
      <c r="B549" s="4">
        <f>1971.005*0.8</f>
        <v>1576.804</v>
      </c>
      <c r="C549" s="11" t="s">
        <v>1</v>
      </c>
    </row>
    <row r="550" spans="1:3" ht="12.75">
      <c r="A550" t="str">
        <f>'[2]Table 1'!B527&amp;": "&amp;'[2]Table 1'!C527</f>
        <v>A9F79325: АВТ. ВЫКЛ.iC60N 3П 25A C</v>
      </c>
      <c r="B550" s="4">
        <f>962.635*0.8</f>
        <v>770.1080000000001</v>
      </c>
      <c r="C550" s="11" t="s">
        <v>1</v>
      </c>
    </row>
    <row r="551" spans="1:3" ht="12.75">
      <c r="A551" t="str">
        <f>'[2]Table 1'!B528&amp;": "&amp;'[2]Table 1'!C528</f>
        <v>A9F79332: АВТ. ВЫКЛ.iC60N 3П 32A C</v>
      </c>
      <c r="B551" s="4">
        <f>1052.88*0.8</f>
        <v>842.3040000000001</v>
      </c>
      <c r="C551" s="11" t="s">
        <v>1</v>
      </c>
    </row>
    <row r="552" spans="1:3" ht="12.75">
      <c r="A552" t="str">
        <f>'[2]Table 1'!B529&amp;": "&amp;'[2]Table 1'!C529</f>
        <v>A9F73402: АВТ. ВЫКЛ.iC60N 4П 2A B</v>
      </c>
      <c r="B552" s="4">
        <f>5120.865*0.8</f>
        <v>4096.692</v>
      </c>
      <c r="C552" s="11" t="s">
        <v>1</v>
      </c>
    </row>
    <row r="553" spans="1:3" ht="12.75">
      <c r="A553" t="str">
        <f>'[2]Table 1'!B530&amp;": "&amp;'[2]Table 1'!C530</f>
        <v>A9F79416: АВТ. ВЫКЛ.iC60N 4П 16A C</v>
      </c>
      <c r="B553" s="4">
        <f>1486.05*0.8</f>
        <v>1188.84</v>
      </c>
      <c r="C553" s="11" t="s">
        <v>1</v>
      </c>
    </row>
    <row r="554" spans="1:3" ht="12.75">
      <c r="A554" t="str">
        <f>'[2]Table 1'!B531&amp;": "&amp;'[2]Table 1'!C531</f>
        <v>A9F79225: АВТ. ВЫКЛ.iC60N 2П 25A C</v>
      </c>
      <c r="B554" s="4">
        <f>818.46*0.8</f>
        <v>654.768</v>
      </c>
      <c r="C554" s="11" t="s">
        <v>1</v>
      </c>
    </row>
    <row r="555" spans="1:3" ht="12.75">
      <c r="A555" t="str">
        <f>'[2]Table 1'!B532&amp;": "&amp;'[2]Table 1'!C532</f>
        <v>A9K24232: АВТ. ВЫКЛ.iK60 2П 32A C</v>
      </c>
      <c r="B555" s="4">
        <f>384.715*0.8</f>
        <v>307.772</v>
      </c>
      <c r="C555" s="11" t="s">
        <v>1</v>
      </c>
    </row>
    <row r="556" spans="1:3" ht="12.75">
      <c r="A556" t="str">
        <f>'[2]Table 1'!B533&amp;": "&amp;'[2]Table 1'!C533</f>
        <v>12077DEK: Авт. выкл. 2Р 32А х-ка C ВА-103 6кА DEKraft</v>
      </c>
      <c r="B556" s="4">
        <f>147.865*0.8</f>
        <v>118.29200000000002</v>
      </c>
      <c r="C556" s="11" t="s">
        <v>1</v>
      </c>
    </row>
    <row r="557" spans="1:3" ht="12.75">
      <c r="A557" t="str">
        <f>'[2]Table 1'!B534&amp;": "&amp;'[2]Table 1'!C534</f>
        <v>A9F79250: АВТ. ВЫКЛ.iC60N 2П 50A C</v>
      </c>
      <c r="B557" s="4">
        <f>1235.13*0.8</f>
        <v>988.1040000000002</v>
      </c>
      <c r="C557" s="11" t="s">
        <v>1</v>
      </c>
    </row>
    <row r="558" spans="1:3" ht="12.75">
      <c r="A558" t="str">
        <f>'[2]Table 1'!B535&amp;": "&amp;'[2]Table 1'!C535</f>
        <v>11080DEK: ВА101-3Р-025А-C_авт. выкл.</v>
      </c>
      <c r="B558" s="4">
        <f>113.4*0.8</f>
        <v>90.72000000000001</v>
      </c>
      <c r="C558" s="11" t="s">
        <v>1</v>
      </c>
    </row>
    <row r="559" spans="1:3" ht="12.75">
      <c r="A559" t="str">
        <f>'[2]Table 1'!B536&amp;": "&amp;'[2]Table 1'!C536</f>
        <v>A9F79363: АВТ. ВЫКЛ.iC60N 3П 63A C</v>
      </c>
      <c r="B559" s="4">
        <f>1520.9*0.8</f>
        <v>1216.72</v>
      </c>
      <c r="C559" s="11" t="s">
        <v>1</v>
      </c>
    </row>
    <row r="560" spans="1:3" ht="12.75">
      <c r="A560" t="str">
        <f>'[2]Table 1'!B537&amp;": "&amp;'[2]Table 1'!C537</f>
        <v>A9K24316: АВТ. ВЫКЛ.iK60 3П 16A C</v>
      </c>
      <c r="B560" s="4">
        <f>518.345*0.8</f>
        <v>414.67600000000004</v>
      </c>
      <c r="C560" s="11" t="s">
        <v>1</v>
      </c>
    </row>
    <row r="561" spans="1:3" ht="12.75">
      <c r="A561" t="str">
        <f>'[2]Table 1'!B538&amp;": "&amp;'[2]Table 1'!C538</f>
        <v>A9F79240: АВТ. ВЫКЛ.iK60 2П 40A C</v>
      </c>
      <c r="B561" s="4">
        <f>885.7*0.8</f>
        <v>708.5600000000001</v>
      </c>
      <c r="C561" s="11" t="s">
        <v>1</v>
      </c>
    </row>
    <row r="562" spans="1:3" ht="12.75">
      <c r="A562" t="str">
        <f>'[2]Table 1'!B539&amp;": "&amp;'[2]Table 1'!C539</f>
        <v>A9F79306: АВТ. ВЫКЛ.iC60N 3П 6A C</v>
      </c>
      <c r="B562" s="4">
        <f>1061.585*0.8</f>
        <v>849.268</v>
      </c>
      <c r="C562" s="11" t="s">
        <v>1</v>
      </c>
    </row>
    <row r="563" spans="1:3" ht="12.75">
      <c r="A563" t="str">
        <f>'[2]Table 1'!B540&amp;": "&amp;'[2]Table 1'!C540</f>
        <v>A9F79310: АВТ. ВЫКЛ.iC60N 3П 10A C</v>
      </c>
      <c r="B563" s="4">
        <f>827.69*0.8</f>
        <v>662.152</v>
      </c>
      <c r="C563" s="11" t="s">
        <v>1</v>
      </c>
    </row>
    <row r="564" spans="1:3" ht="12.75">
      <c r="A564" t="str">
        <f>'[2]Table 1'!B541&amp;": "&amp;'[2]Table 1'!C541</f>
        <v>13180DEK: Авт. выкл. 3P C кривая 32A 10кА ВА-105</v>
      </c>
      <c r="B564" s="4">
        <f>569.6*0.8</f>
        <v>455.68000000000006</v>
      </c>
      <c r="C564" s="11" t="s">
        <v>1</v>
      </c>
    </row>
    <row r="565" spans="1:3" ht="12.75">
      <c r="A565" t="str">
        <f>'[2]Table 1'!B542&amp;": "&amp;'[2]Table 1'!C542</f>
        <v>13008DEK: Авт. выкл. 3Р 80А х-ка С ВА-201 10кА DEKraft</v>
      </c>
      <c r="B565" s="4">
        <f>535.33*0.8</f>
        <v>428.26400000000007</v>
      </c>
      <c r="C565" s="11" t="s">
        <v>1</v>
      </c>
    </row>
    <row r="566" spans="1:3" ht="12.75">
      <c r="A566" t="str">
        <f>'[2]Table 1'!B543&amp;": "&amp;'[2]Table 1'!C543</f>
        <v>11090DEK: Авт. выкл. 4Р 16А х-ка C ВА-101 4,5кА DEKraft</v>
      </c>
      <c r="B566" s="4">
        <f>210.82*0.8</f>
        <v>168.656</v>
      </c>
      <c r="C566" s="11" t="s">
        <v>1</v>
      </c>
    </row>
    <row r="567" spans="1:3" ht="12.75">
      <c r="A567" t="str">
        <f>'[2]Table 1'!B544&amp;": "&amp;'[2]Table 1'!C544</f>
        <v>11092DEK: Авт. выкл. 4Р 25А х-ка C ВА-101 4,5кА DEKraft</v>
      </c>
      <c r="B567" s="4">
        <f>210.82*0.8</f>
        <v>168.656</v>
      </c>
      <c r="C567" s="11" t="s">
        <v>1</v>
      </c>
    </row>
    <row r="568" spans="1:3" ht="12.75">
      <c r="A568" t="str">
        <f>'[2]Table 1'!B545&amp;": "&amp;'[2]Table 1'!C545</f>
        <v>A9F79232: АВТ. ВЫКЛ.iC60N 2П 32A C</v>
      </c>
      <c r="B568" s="4">
        <f>885.7*0.8</f>
        <v>708.5600000000001</v>
      </c>
      <c r="C568" s="11" t="s">
        <v>1</v>
      </c>
    </row>
    <row r="569" spans="1:3" ht="12.75">
      <c r="A569" t="str">
        <f>'[2]Table 1'!B546&amp;": "&amp;'[2]Table 1'!C546</f>
        <v>A9A26948: iMX+OF РАСЦЕПИТЕЛЬ 12-24В АС (АКТИ 9)</v>
      </c>
      <c r="B569" s="4">
        <f>2325.305*0.8</f>
        <v>1860.244</v>
      </c>
      <c r="C569" s="11" t="s">
        <v>1</v>
      </c>
    </row>
    <row r="570" spans="1:3" ht="12.75">
      <c r="A570" t="str">
        <f>'[2]Table 1'!B547&amp;": "&amp;'[2]Table 1'!C547</f>
        <v>A9A15096: ДОП КОНТАКТ ПЕРЕКИДНОЙ ДЛЯ ВЫКЛЮЧАТЕЛЯ НАГРУЗКИ iS</v>
      </c>
      <c r="B570" s="4">
        <f>864.33*0.8</f>
        <v>691.464</v>
      </c>
      <c r="C570" s="11" t="s">
        <v>1</v>
      </c>
    </row>
    <row r="571" spans="1:3" ht="12.75">
      <c r="A571" t="str">
        <f>'[2]Table 1'!B548&amp;": "&amp;'[2]Table 1'!C548</f>
        <v>A9A26924: iOF КОНТАКТ СОСТОЯНИЯ (АКТИ 9)</v>
      </c>
      <c r="B571" s="4">
        <f>990.465*0.8</f>
        <v>792.3720000000001</v>
      </c>
      <c r="C571" s="11" t="s">
        <v>1</v>
      </c>
    </row>
    <row r="572" spans="1:3" ht="12.75">
      <c r="A572" t="str">
        <f>'[2]Table 1'!B549&amp;": "&amp;'[2]Table 1'!C549</f>
        <v>A9A26927: iSD КОНТАКТ СОСТОЯНИЯ (АКТИ 9)</v>
      </c>
      <c r="B572" s="4">
        <f>1098.41*0.8</f>
        <v>878.7280000000001</v>
      </c>
      <c r="C572" s="11" t="s">
        <v>1</v>
      </c>
    </row>
    <row r="573" spans="1:3" ht="12.75">
      <c r="A573" t="str">
        <f>'[2]Table 1'!B550&amp;": "&amp;'[2]Table 1'!C550</f>
        <v>A9A26929: iOF/SD+OF КОНТАКТ СОСТОЯНИЯ (АКТИ 9)</v>
      </c>
      <c r="B573" s="4">
        <f>1468.815*0.8</f>
        <v>1175.0520000000001</v>
      </c>
      <c r="C573" s="11" t="s">
        <v>1</v>
      </c>
    </row>
    <row r="574" spans="1:3" ht="12.75">
      <c r="A574" t="str">
        <f>'[2]Table 1'!B551&amp;": "&amp;'[2]Table 1'!C551</f>
        <v>4197: ЭКРАН ДЛЯ СИЛОВЫХ ШИН 630 A</v>
      </c>
      <c r="B574" s="4">
        <f>2799.33*0.8</f>
        <v>2239.464</v>
      </c>
      <c r="C574" s="11" t="s">
        <v>1</v>
      </c>
    </row>
    <row r="575" spans="1:3" ht="12.75">
      <c r="A575" t="str">
        <f>'[2]Table 1'!B552&amp;": "&amp;'[2]Table 1'!C552</f>
        <v>4546: ИЗОЛИР.ГИБ.ШИНКА, 24Х5 ММ, ДЛИНА 1800 ММ</v>
      </c>
      <c r="B575" s="4">
        <f>12731.045*0.8</f>
        <v>10184.836000000001</v>
      </c>
      <c r="C575" s="11" t="s">
        <v>1</v>
      </c>
    </row>
    <row r="576" spans="1:3" ht="12.75">
      <c r="A576" t="str">
        <f>'[2]Table 1'!B553&amp;": "&amp;'[2]Table 1'!C553</f>
        <v>4121: СИЛ.ШИНЫ POWERCLIP, 160 A, 4П, 1000 ММ</v>
      </c>
      <c r="B576" s="4">
        <f>8064.235*0.8</f>
        <v>6451.388</v>
      </c>
      <c r="C576" s="11" t="s">
        <v>1</v>
      </c>
    </row>
    <row r="577" spans="1:3" ht="12.75">
      <c r="A577" t="str">
        <f>'[2]Table 1'!B554&amp;": "&amp;'[2]Table 1'!C554</f>
        <v>4512: ПЕРФ. ШИНА РЕ 25х5 мм</v>
      </c>
      <c r="B577" s="4">
        <f>2711.63*0.8</f>
        <v>2169.304</v>
      </c>
      <c r="C577" s="11" t="s">
        <v>1</v>
      </c>
    </row>
    <row r="578" spans="1:3" ht="12.75">
      <c r="A578" t="str">
        <f>'[2]Table 1'!B555&amp;": "&amp;'[2]Table 1'!C555</f>
        <v>NSYBVS800: 2 ВЕРТ. ОПОРЫ ДЛЯ ДЛЯ СБ. ШИН 3200A
800</v>
      </c>
      <c r="B578" s="4">
        <f>3935.385*0.8</f>
        <v>3148.3080000000004</v>
      </c>
      <c r="C578" s="11" t="s">
        <v>1</v>
      </c>
    </row>
    <row r="579" spans="1:3" ht="12.75">
      <c r="A579" t="str">
        <f>'[2]Table 1'!B556&amp;": "&amp;'[2]Table 1'!C556</f>
        <v>4746: ИЗОЛИР.ГИБ.ШИНКА, 24Х5 ММ, ДЛИНА 1800 ММ</v>
      </c>
      <c r="B579" s="4">
        <f>3994.265*0.8</f>
        <v>3195.4120000000003</v>
      </c>
      <c r="C579" s="11" t="s">
        <v>1</v>
      </c>
    </row>
    <row r="580" spans="1:3" ht="12.75">
      <c r="A580" t="str">
        <f>'[2]Table 1'!B557&amp;": "&amp;'[2]Table 1'!C557</f>
        <v>ABE7P16T334: TELEFAST БАЗА ПОД 16 СЪЕМ РЕЛЕ 12.5ММ, ПРЕДОХР. НА КАНАЛ (ЗАКАЗ РЕЛЕ ОТДЕЛЬНО)</v>
      </c>
      <c r="B580" s="4">
        <f>5440.345*0.8</f>
        <v>4352.276000000001</v>
      </c>
      <c r="C580" s="11" t="s">
        <v>1</v>
      </c>
    </row>
    <row r="581" spans="1:3" ht="12.75">
      <c r="A581" t="str">
        <f>'[2]Table 1'!B558&amp;": "&amp;'[2]Table 1'!C558</f>
        <v>8103: НАВЕСНОЙ ШКАФ, Ш = 600 ММ, 9 МОДУЛЕЙ</v>
      </c>
      <c r="B581" s="4">
        <f>5747.525*0.8</f>
        <v>4598.0199999999995</v>
      </c>
      <c r="C581" s="11" t="s">
        <v>1</v>
      </c>
    </row>
    <row r="582" spans="1:3" ht="12.75">
      <c r="A582" t="str">
        <f>'[2]Table 1'!B559&amp;": "&amp;'[2]Table 1'!C559</f>
        <v>8104: НАВЕСНОЙ ШКАФ, Ш = 600 ММ, 12 МОДУЛЕЙ</v>
      </c>
      <c r="B582" s="4">
        <f>6244.92*0.8</f>
        <v>4995.936000000001</v>
      </c>
      <c r="C582" s="11" t="s">
        <v>1</v>
      </c>
    </row>
    <row r="583" spans="1:3" ht="12.75">
      <c r="A583" t="str">
        <f>'[2]Table 1'!B560&amp;": "&amp;'[2]Table 1'!C560</f>
        <v>8123: НЕПРОЗР-Я ДВЕРЬ НАВЕСНОГО ШКАФА, 9 МОД</v>
      </c>
      <c r="B583" s="4">
        <f>2446.2*0.8</f>
        <v>1956.96</v>
      </c>
      <c r="C583" s="11" t="s">
        <v>1</v>
      </c>
    </row>
    <row r="584" spans="1:3" ht="12.75">
      <c r="A584" t="str">
        <f>'[2]Table 1'!B561&amp;": "&amp;'[2]Table 1'!C561</f>
        <v>8134: ПРОЗР-Я ДВЕРЬ НАВЕСНОГО ШКАФА, 12 МОД</v>
      </c>
      <c r="B584" s="4">
        <f>4242.84*0.8</f>
        <v>3394.2720000000004</v>
      </c>
      <c r="C584" s="11" t="s">
        <v>1</v>
      </c>
    </row>
    <row r="585" spans="1:3" ht="12.75">
      <c r="A585" t="str">
        <f>'[2]Table 1'!B562&amp;": "&amp;'[2]Table 1'!C562</f>
        <v>NSYFXT6060: ФИКСИР. ПОЛКА 600Х600</v>
      </c>
      <c r="B585" s="4">
        <f>1833.125*0.8</f>
        <v>1466.5</v>
      </c>
      <c r="C585" s="11" t="s">
        <v>1</v>
      </c>
    </row>
    <row r="586" spans="1:3" ht="12.75">
      <c r="A586" t="str">
        <f>'[2]Table 1'!B563&amp;": "&amp;'[2]Table 1'!C563</f>
        <v>NSYFXT8060: ФИКСИР. ПОЛКА 800Х600</v>
      </c>
      <c r="B586" s="4">
        <f>2061.13*0.8</f>
        <v>1648.9040000000002</v>
      </c>
      <c r="C586" s="11" t="s">
        <v>1</v>
      </c>
    </row>
    <row r="587" spans="1:3" ht="12.75">
      <c r="A587" t="str">
        <f>'[2]Table 1'!B564&amp;": "&amp;'[2]Table 1'!C564</f>
        <v>CA3KN22MD: ПРОМЕЖУТОЧНОЕ РЕЛЕ 2НО+2НЗ, ЦЕПЬ УПРАВЛЕНИЯ 220В ПОСТОЯННОГО ТОКА</v>
      </c>
      <c r="B587" s="4">
        <f>1227.195*0.8</f>
        <v>981.756</v>
      </c>
      <c r="C587" s="11" t="s">
        <v>1</v>
      </c>
    </row>
    <row r="588" spans="1:3" ht="12.75">
      <c r="A588" t="str">
        <f>'[2]Table 1'!B565&amp;": "&amp;'[2]Table 1'!C565</f>
        <v>LP1K09008MD: КОНТАКТОР K 4Р (2 НО + 2 НЗ),AC1.20A,220V DС,ЗАЖИМ ПОД ВИНТ</v>
      </c>
      <c r="B588" s="4">
        <f>1181.87*0.8</f>
        <v>945.496</v>
      </c>
      <c r="C588" s="11" t="s">
        <v>1</v>
      </c>
    </row>
    <row r="589" spans="1:3" ht="12.75">
      <c r="A589" t="str">
        <f>'[2]Table 1'!B566&amp;": "&amp;'[2]Table 1'!C566</f>
        <v>140XTS00206: КАБЕЛЬ CABLE-FAST С КОЛОДКОЙ XTS-002, 1.8M</v>
      </c>
      <c r="B589" s="4">
        <f>4751.41*0.8</f>
        <v>3801.128</v>
      </c>
      <c r="C589" s="11" t="s">
        <v>1</v>
      </c>
    </row>
    <row r="590" spans="1:3" ht="12.75">
      <c r="A590" t="str">
        <f>'[2]Table 1'!B567&amp;": "&amp;'[2]Table 1'!C567</f>
        <v>NSYSFMDR: МЕХ. ФИКСАТОР ДВЕРИ SF</v>
      </c>
      <c r="B590" s="4">
        <f>1737.595*0.8</f>
        <v>1390.076</v>
      </c>
      <c r="C590" s="11" t="s">
        <v>1</v>
      </c>
    </row>
    <row r="591" spans="1:3" ht="12.75">
      <c r="A591" t="str">
        <f>'[2]Table 1'!B568&amp;": "&amp;'[2]Table 1'!C568</f>
        <v>ABFM32H301: </v>
      </c>
      <c r="B591" s="4">
        <f>4775.205*0.8</f>
        <v>3820.164</v>
      </c>
      <c r="C591" s="11" t="s">
        <v>1</v>
      </c>
    </row>
    <row r="592" spans="1:3" ht="12.75">
      <c r="A592" t="str">
        <f>'[2]Table 1'!B569&amp;": "&amp;'[2]Table 1'!C569</f>
        <v>ABE7P16F310: TELEFAST БАЗА ПОД 16 СЪЕМНЫХ РЕЛЕ ШИРИНОЙ 12,5ММ (ЗАКАЗ РЕЛЕ ОТДЕЛЬНО)</v>
      </c>
      <c r="B592" s="4">
        <f>4464.52*0.8</f>
        <v>3571.6160000000004</v>
      </c>
      <c r="C592" s="11" t="s">
        <v>1</v>
      </c>
    </row>
    <row r="593" spans="1:3" ht="12.75">
      <c r="A593" t="str">
        <f>'[2]Table 1'!B570&amp;": "&amp;'[2]Table 1'!C570</f>
        <v>NSYSDT8: ПОДСТАВКА ДЛЯ ДОКУМ. НА ДВЕРЬ 800ММ</v>
      </c>
      <c r="B593" s="4">
        <f>10756.08*0.8</f>
        <v>8604.864</v>
      </c>
      <c r="C593" s="11" t="s">
        <v>1</v>
      </c>
    </row>
    <row r="594" spans="1:3" ht="12.75">
      <c r="A594" t="str">
        <f>'[2]Table 1'!B571&amp;": "&amp;'[2]Table 1'!C571</f>
        <v>140XTS00209: КАБЕЛЬ CABLE-FAST С КОЛОДКОЙ XTS-002, 2.7M</v>
      </c>
      <c r="B594" s="4">
        <f>4941.415*0.8</f>
        <v>3953.132</v>
      </c>
      <c r="C594" s="11" t="s">
        <v>1</v>
      </c>
    </row>
    <row r="595" spans="1:3" ht="12.75">
      <c r="A595" t="str">
        <f>'[2]Table 1'!B572&amp;": "&amp;'[2]Table 1'!C572</f>
        <v>ABFM32H150: TELEFAST КАБЕЛЬ ИНФОРМАЦ, 2ХНЕ10 НА 2*16 КАНАЛОВ, ДЛЯ ПЛК QUANTUM, ДЛИНА
1,5M</v>
      </c>
      <c r="B595" s="4">
        <f>3981.36*0.8</f>
        <v>3185.088</v>
      </c>
      <c r="C595" s="11" t="s">
        <v>1</v>
      </c>
    </row>
    <row r="596" spans="1:3" ht="12.75">
      <c r="A596" t="str">
        <f>'[2]Table 1'!B573&amp;": "&amp;'[2]Table 1'!C573</f>
        <v>LC1D09MD: КОНТАКТОР.3Р,9A,НО+НЗ,220V-,ОГРАН.</v>
      </c>
      <c r="B596" s="4">
        <f>2016.505*0.8</f>
        <v>1613.2040000000002</v>
      </c>
      <c r="C596" s="11" t="s">
        <v>1</v>
      </c>
    </row>
    <row r="597" spans="1:3" ht="12.75">
      <c r="A597" t="str">
        <f>'[2]Table 1'!B574&amp;": "&amp;'[2]Table 1'!C574</f>
        <v>990NAD23010: MODBUS PLUS TAP, ПОВЫШ. ПРОЧ. В IP65, ДЛЯ 2 ОСНОВН.КАБЕЛЕЙ &amp; 2 КАБЕЛЕЙ ОТВЕТВЛ.</v>
      </c>
      <c r="B597" s="4">
        <f>8826.775*0.8</f>
        <v>7061.42</v>
      </c>
      <c r="C597" s="11" t="s">
        <v>1</v>
      </c>
    </row>
    <row r="598" spans="1:3" ht="12.75">
      <c r="A598" t="str">
        <f>'[2]Table 1'!B575&amp;": "&amp;'[2]Table 1'!C575</f>
        <v>CAD50MD: ПРОМЕЖУТОЧНОЕ РЕЛЕ 5НО, ЦЕПЬ УПРАВЛЕНИЯ 220В ПОСТОЯННОГО ТОКА, ВИНТОВОЙ ЗАЖИМ</v>
      </c>
      <c r="B598" s="4">
        <f>1323.42*0.8</f>
        <v>1058.736</v>
      </c>
      <c r="C598" s="11" t="s">
        <v>1</v>
      </c>
    </row>
    <row r="599" spans="1:3" ht="12.75">
      <c r="A599" t="str">
        <f>'[2]Table 1'!B576&amp;": "&amp;'[2]Table 1'!C576</f>
        <v>ABE7P16T330: TELEFAST БАЗА НА 16 ВЫХ, СО СЪЕМНЫМИ ЭЛЕКТРОМЕХ. РЕЛЕ 12 ММ, 1 ПЕРЕКИДНОЙ</v>
      </c>
      <c r="B599" s="4">
        <f>4464.52*0.8</f>
        <v>3571.6160000000004</v>
      </c>
      <c r="C599" s="11" t="s">
        <v>1</v>
      </c>
    </row>
    <row r="600" spans="1:3" ht="12.75">
      <c r="A600" t="str">
        <f>'[2]Table 1'!B577&amp;": "&amp;'[2]Table 1'!C577</f>
        <v>ABS7EC3B2: TELEFAST РЕЛЕ СТАТИЧЕСКОЕ =24В 12,5ММ</v>
      </c>
      <c r="B600" s="4">
        <f>606.065*0.8</f>
        <v>484.8520000000001</v>
      </c>
      <c r="C600" s="11" t="s">
        <v>1</v>
      </c>
    </row>
    <row r="601" spans="1:3" ht="12.75">
      <c r="A601" t="str">
        <f>'[2]Table 1'!B578&amp;": "&amp;'[2]Table 1'!C578</f>
        <v>CAD32MD: ПРОМЕЖУТОЧНОЕ РЕЛЕ 3НО+2НЗ, ЦЕПЬ УПРАВЛЕНИЯ 220В ПОСТОЯННОГО ТОКА</v>
      </c>
      <c r="B601" s="4">
        <f>1984.435*0.8</f>
        <v>1587.548</v>
      </c>
      <c r="C601" s="11" t="s">
        <v>1</v>
      </c>
    </row>
    <row r="602" spans="1:3" ht="12.75">
      <c r="A602" t="str">
        <f>'[2]Table 1'!B579&amp;": "&amp;'[2]Table 1'!C579</f>
        <v>ABFM32H300: КАБЕЛЬ ИНФОРМАЦИОННЫЙ 2X16К QUANTUM 3M</v>
      </c>
      <c r="B602" s="4">
        <f>4775.205*0.8</f>
        <v>3820.164</v>
      </c>
      <c r="C602" s="11" t="s">
        <v>1</v>
      </c>
    </row>
    <row r="603" spans="1:3" ht="12.75">
      <c r="A603" t="str">
        <f>'[2]Table 1'!B580&amp;": "&amp;'[2]Table 1'!C580</f>
        <v>140CFA04000: КЛЕММНАЯ КОЛОДКА CABLE-FAST A, УНИВЕРС., ПРЯМОЕ СОЕД., НЕТ.ПРЕД.</v>
      </c>
      <c r="B603" s="4">
        <f>3109.625*0.8</f>
        <v>2487.7000000000003</v>
      </c>
      <c r="C603" s="11" t="s">
        <v>1</v>
      </c>
    </row>
    <row r="604" spans="1:3" ht="12.75">
      <c r="A604" t="str">
        <f>'[2]Table 1'!B581&amp;": "&amp;'[2]Table 1'!C581</f>
        <v>ABR7S21: TELEFAST РЕЛЕ ЭЛЕКТРОМЕХАНИЧЕСКОЕ
=24В 1NO 5A 10ММ</v>
      </c>
      <c r="B604" s="4">
        <f>106.55*0.8</f>
        <v>85.24000000000001</v>
      </c>
      <c r="C604" s="11" t="s">
        <v>1</v>
      </c>
    </row>
    <row r="605" spans="1:3" ht="12.75">
      <c r="A605" t="str">
        <f>'[2]Table 1'!B582&amp;": "&amp;'[2]Table 1'!C582</f>
        <v>975951000: КАБЕЛЬ RIO RG-11 305М.</v>
      </c>
      <c r="C605" s="11" t="s">
        <v>1</v>
      </c>
    </row>
    <row r="606" spans="1:3" ht="25.5">
      <c r="A606" s="9" t="str">
        <f>'[2]Table 1'!B583&amp;": "&amp;'[2]Table 1'!C583</f>
        <v>AB1ALN35: ПЕРЕМЫЧКА ДЛЯ КЛЕММНИКОВ СЕЧЕНИЕМ 35ММ2, 20 ПОЛЮСНАЯ</v>
      </c>
      <c r="C606" s="11" t="s">
        <v>1</v>
      </c>
    </row>
    <row r="607" spans="1:3" ht="12.75">
      <c r="A607" s="9" t="str">
        <f>'[2]Table 1'!B584&amp;": "&amp;'[2]Table 1'!C584</f>
        <v>AB1ALN16: ПЕРЕМЫЧКА 16ММ2 40 ПОЛЮСН</v>
      </c>
      <c r="C607" s="11" t="s">
        <v>1</v>
      </c>
    </row>
    <row r="608" spans="1:3" ht="25.5">
      <c r="A608" s="9" t="str">
        <f>'[2]Table 1'!B585&amp;": "&amp;'[2]Table 1'!C585</f>
        <v>AB1ALN10: ПЕРЕМЫЧКА ДЛЯ КЛЕММНИКОВ СЕЧЕНИЕМ 10ММ2, 40 ПОЛЮСНАЯ</v>
      </c>
      <c r="C608" s="11" t="s">
        <v>1</v>
      </c>
    </row>
    <row r="609" spans="1:3" ht="25.5">
      <c r="A609" s="9" t="str">
        <f>'[2]Table 1'!B586&amp;": "&amp;'[2]Table 1'!C586</f>
        <v>AB1ALN1610: ПЕРЕМЫЧКА ДЛЯ КЛЕММНИКОВ СЕЧЕНИЕМ 16ММ2, 10 ПОЛЮСНАЯ</v>
      </c>
      <c r="C609" s="11" t="s">
        <v>1</v>
      </c>
    </row>
    <row r="610" spans="1:3" ht="12.75">
      <c r="A610" s="9" t="str">
        <f>'[2]Table 1'!B587&amp;": "&amp;'[2]Table 1'!C587</f>
        <v>AB1ALN412: ПЕРЕМЫЧКА 4ММ2 12 ПОЛЮСН</v>
      </c>
      <c r="C610" s="11" t="s">
        <v>1</v>
      </c>
    </row>
    <row r="611" spans="1:3" ht="29.25" customHeight="1">
      <c r="A611" s="9" t="str">
        <f>'[2]Table 1'!B588&amp;": "&amp;'[2]Table 1'!C588</f>
        <v>AB1AL2: ПЕРЕМЫЧКА НЕИЗОЛИРОВАННАЯ ДЛЯ КЛЕММНИКОВ СЕЧЕНИЕМ 2,5ММ2, 80 ПОЛЮСНАЯ</v>
      </c>
      <c r="C611" s="11" t="s">
        <v>1</v>
      </c>
    </row>
    <row r="612" spans="1:3" ht="25.5">
      <c r="A612" s="9" t="str">
        <f>'[2]Table 1'!B589&amp;": "&amp;'[2]Table 1'!C589</f>
        <v>AB1AL4: ПЕРЕМЫЧКА НЕИЗОЛИРОВАННАЯ ДЛЯ КЛЕММНИКОВ СЕЧЕНИЕМ 4ММ2, 70 ПОЛЮСНАЯ</v>
      </c>
      <c r="C612" s="11" t="s">
        <v>1</v>
      </c>
    </row>
    <row r="613" spans="1:3" ht="12.75">
      <c r="A613" s="9" t="str">
        <f>'[2]Table 1'!B590&amp;": "&amp;'[2]Table 1'!C590</f>
        <v>AB1AL6: ПЕРЕМЫЧКА 6 ММ2</v>
      </c>
      <c r="C613" s="11" t="s">
        <v>1</v>
      </c>
    </row>
    <row r="614" spans="1:3" ht="12.75">
      <c r="A614" s="9" t="str">
        <f>'[2]Table 1'!B591&amp;": "&amp;'[2]Table 1'!C591</f>
        <v>21098: ПЕРЕХОДНИКИ ИЗОЛИРОВАННЫЕ ДЛЯ ШИН 9ММ (4ШТ)  (ЗУБЫ)</v>
      </c>
      <c r="C614" s="11" t="s">
        <v>1</v>
      </c>
    </row>
    <row r="615" spans="1:3" ht="12.75">
      <c r="A615" s="9" t="str">
        <f>'[2]Table 1'!B592&amp;": "&amp;'[2]Table 1'!C592</f>
        <v>14885: 4 СОЕДИНИТЕЛЯ ДЛЯ КАБЕЛЕЙ (ЗУБОВ)</v>
      </c>
      <c r="C615" s="11" t="s">
        <v>1</v>
      </c>
    </row>
    <row r="616" spans="1:3" ht="12.75">
      <c r="A616" s="9" t="str">
        <f>'[2]Table 1'!B593&amp;": "&amp;'[2]Table 1'!C593</f>
        <v>21089: ГРЕБ. ШИНКИ 1П+Н 48 МОД. 9ММ</v>
      </c>
      <c r="C616" s="11" t="s">
        <v>1</v>
      </c>
    </row>
    <row r="617" spans="1:3" ht="12.75">
      <c r="A617" s="9" t="str">
        <f>'[2]Table 1'!B594&amp;": "&amp;'[2]Table 1'!C594</f>
        <v>21093: ГРЕБ. ШИНКИ 3П+Н 48 МОД. 9ММ</v>
      </c>
      <c r="C617" s="11" t="s">
        <v>1</v>
      </c>
    </row>
    <row r="618" spans="1:3" ht="12.75">
      <c r="A618" s="9" t="str">
        <f>'[2]Table 1'!B595&amp;": "&amp;'[2]Table 1'!C595</f>
        <v>14891: 2 ГРЕБЕНЧАТЫЕ ШИНКИ 1П. 48 МОД. 9ММ</v>
      </c>
      <c r="C618" s="11" t="s">
        <v>1</v>
      </c>
    </row>
    <row r="619" spans="1:3" ht="12.75">
      <c r="A619" t="str">
        <f>'[2]Table 1'!B596&amp;": "&amp;'[2]Table 1'!C596</f>
        <v>14881: ГРЕБЕНЧАТАЯ ШИНКА 1П. 24 МОДУЛЯ 9ММ</v>
      </c>
      <c r="C619" s="11" t="s">
        <v>1</v>
      </c>
    </row>
    <row r="620" spans="1:3" ht="12.75">
      <c r="A620" t="str">
        <f>'[2]Table 1'!B597&amp;": "&amp;'[2]Table 1'!C597</f>
        <v>14883: ГРЕБЕНЧАТАЯ ШИНКА 3П.</v>
      </c>
      <c r="C620" s="11" t="s">
        <v>1</v>
      </c>
    </row>
    <row r="621" spans="1:3" ht="12.75">
      <c r="A621" t="str">
        <f>'[2]Table 1'!B598&amp;": "&amp;'[2]Table 1'!C598</f>
        <v>14894: 2 ГРЕБЕНЧАТЫЕ ШИНКИ 4П. 48 МОД. 9ММ</v>
      </c>
      <c r="C621" s="11" t="s">
        <v>1</v>
      </c>
    </row>
    <row r="622" spans="1:3" ht="12.75">
      <c r="A622" t="str">
        <f>'[2]Table 1'!B599&amp;": "&amp;'[2]Table 1'!C599</f>
        <v>21503: ГРЕБЕНЧАТАЯ ШИНКА 1П+Н 48 МОД. 9ММ</v>
      </c>
      <c r="C622" s="11" t="s">
        <v>1</v>
      </c>
    </row>
    <row r="623" spans="1:3" ht="25.5">
      <c r="A623" s="9" t="str">
        <f>'[2]Table 1'!B600&amp;": "&amp;'[2]Table 1'!C600</f>
        <v>21507: ШИНКА ГРЕБЕНЧАТАЯ 1П+H (NL1NL2NL3…(ШАГ9ММ)) 24 МОД.18ММ 80А РАЗРЕЗАЕМАЯ</v>
      </c>
      <c r="C623" s="11" t="s">
        <v>1</v>
      </c>
    </row>
    <row r="624" spans="1:3" ht="12.75">
      <c r="A624" t="str">
        <f>'[2]Table 1'!B601&amp;": "&amp;'[2]Table 1'!C601</f>
        <v>21505: ГРЕБЕНЧАТАЯ ШИНКА 3П+Н 12 МОД. 9ММ</v>
      </c>
      <c r="C624" s="11" t="s">
        <v>1</v>
      </c>
    </row>
    <row r="625" spans="1:3" ht="12.75">
      <c r="A625" t="str">
        <f>'[2]Table 1'!B602&amp;": "&amp;'[2]Table 1'!C602</f>
        <v>14890: ГРЕБЕНЧАТАЯ ШИНКА 1П+Н 48 МОД. 9ММ</v>
      </c>
      <c r="C625" s="11" t="s">
        <v>1</v>
      </c>
    </row>
    <row r="626" spans="1:3" ht="12.75">
      <c r="A626" t="str">
        <f>'[2]Table 1'!B603&amp;": "&amp;'[2]Table 1'!C603</f>
        <v>21094: ЗАГЛУШКИ БОКОВЫЕ ДЛЯ ГРЕБЕНЧАТЫХ ШИНОК 1П+H (40ШТ)</v>
      </c>
      <c r="C626" s="11" t="s">
        <v>1</v>
      </c>
    </row>
    <row r="627" spans="1:3" ht="12.75">
      <c r="A627" t="str">
        <f>'[2]Table 1'!B604&amp;": "&amp;'[2]Table 1'!C604</f>
        <v>14886: 40КОНЦ.КОЛП.ДЛЯ ГР.ШИНОК 1П/2П/1П+Н</v>
      </c>
      <c r="C627" s="11" t="s">
        <v>1</v>
      </c>
    </row>
    <row r="628" spans="1:3" ht="12.75">
      <c r="A628" t="str">
        <f>'[2]Table 1'!B605&amp;": "&amp;'[2]Table 1'!C605</f>
        <v>HMHJTW7354: MAGELIS PC</v>
      </c>
      <c r="C628" s="11" t="s">
        <v>1</v>
      </c>
    </row>
    <row r="629" spans="1:3" ht="12.75">
      <c r="A629" t="str">
        <f>'[2]Table 1'!B606&amp;": "&amp;'[2]Table 1'!C606</f>
        <v>ATV31HD11N4: ПРЕОБР ЧАСТОТЫ 11КВТ 380-500В 3Ф</v>
      </c>
      <c r="C629" s="11" t="s">
        <v>1</v>
      </c>
    </row>
    <row r="630" spans="1:3" ht="12.75">
      <c r="A630" t="str">
        <f>'[2]Table 1'!B607&amp;": "&amp;'[2]Table 1'!C607</f>
        <v>ATV58HU41N4: ПРЕОБР ЧАСТОТЫ ATV58 4КВТ 400В 3Ф</v>
      </c>
      <c r="C630" s="11" t="s">
        <v>1</v>
      </c>
    </row>
    <row r="631" spans="1:3" ht="25.5">
      <c r="A631" s="9" t="str">
        <f>'[2]Table 1'!B608&amp;": "&amp;'[2]Table 1'!C608</f>
        <v>ABE7R08S216: TELEFAST БАЗА НА 8 ДИСКРЕТНЫХ РЕЛЕЙНЫХ ВЫХОДОВ (1</v>
      </c>
      <c r="C631" s="11" t="s">
        <v>1</v>
      </c>
    </row>
    <row r="632" spans="1:3" ht="25.5">
      <c r="A632" s="9" t="str">
        <f>'[2]Table 1'!B609&amp;": "&amp;'[2]Table 1'!C609</f>
        <v>ABE7BV20: TELEFAST ДОПОЛНИТЕЛЬНЫЙ КЛЕММНИК НА 20 ТОЧЕК, КОНТАКТЫ С ВИНТОВЫМ ЗАЖИМОМ</v>
      </c>
      <c r="C632" s="11" t="s">
        <v>1</v>
      </c>
    </row>
    <row r="633" spans="1:3" ht="26.25" customHeight="1">
      <c r="A633" s="9" t="str">
        <f>'[2]Table 1'!B610&amp;": "&amp;'[2]Table 1'!C610</f>
        <v>140SHS94500: ПРОГРАММНЫЙ МОДУЛЬ ГОРЯЧЕГО РЕЗЕРВА ДЛЯ MODSOFT (ВХ. В КОМПЛЕКТ)</v>
      </c>
      <c r="C633" s="11" t="s">
        <v>1</v>
      </c>
    </row>
    <row r="634" spans="1:3" ht="12.75">
      <c r="A634" s="9" t="str">
        <f>'[2]Table 1'!B611&amp;": "&amp;'[2]Table 1'!C611</f>
        <v>TSXCXP223: КАБЕЛЬ TSXCAY* &lt;-&gt; TSXTAPMAS/ABE7CPA01</v>
      </c>
      <c r="C634" s="11" t="s">
        <v>1</v>
      </c>
    </row>
    <row r="635" spans="1:3" ht="12.75">
      <c r="A635" s="9" t="str">
        <f>'[2]Table 1'!B612&amp;": "&amp;'[2]Table 1'!C612</f>
        <v>TSXCXP23302A0616CT: КАБЕЛЬ TSXCAY* &lt;-&gt; TSXTAPMAS/ABE7CPA01</v>
      </c>
      <c r="C635" s="11" t="s">
        <v>1</v>
      </c>
    </row>
    <row r="636" spans="1:3" ht="12.75">
      <c r="A636" t="str">
        <f>'[2]Table 1'!B613&amp;": "&amp;'[2]Table 1'!C613</f>
        <v>CCA783: Кабель PC connection cord</v>
      </c>
      <c r="C636" s="11" t="s">
        <v>1</v>
      </c>
    </row>
    <row r="637" spans="1:3" ht="12.75">
      <c r="A637" t="str">
        <f>'[2]Table 1'!B614&amp;": "&amp;'[2]Table 1'!C614</f>
        <v>1701050200110: CBL-RJ45M9-150    КАБЕЛЬ RJ45-COM</v>
      </c>
      <c r="C637" s="11" t="s">
        <v>1</v>
      </c>
    </row>
    <row r="638" spans="1:3" ht="12.75">
      <c r="A638" t="str">
        <f>'[2]Table 1'!B615&amp;": "&amp;'[2]Table 1'!C615</f>
        <v>29627: 3П3Т АВТОМ. ВЫКЛ. TM32D NSX100F</v>
      </c>
      <c r="C638" s="11" t="s">
        <v>1</v>
      </c>
    </row>
    <row r="639" spans="1:3" ht="12.75">
      <c r="A639" t="str">
        <f>'[2]Table 1'!B616&amp;": "&amp;'[2]Table 1'!C616</f>
        <v>29629: 3П ВЫКЛ. РАЗЪЕД. NSX100NA</v>
      </c>
      <c r="C639" s="11" t="s">
        <v>1</v>
      </c>
    </row>
    <row r="640" spans="1:3" ht="12.75">
      <c r="A640" t="str">
        <f>'[2]Table 1'!B617&amp;": "&amp;'[2]Table 1'!C617</f>
        <v>29635: 3П3Т АВТОМ. ВЫКЛ. TM32D NSX100F</v>
      </c>
      <c r="C640" s="11" t="s">
        <v>1</v>
      </c>
    </row>
    <row r="641" spans="1:3" ht="12.75">
      <c r="A641" t="str">
        <f>'[2]Table 1'!B618&amp;": "&amp;'[2]Table 1'!C618</f>
        <v>32516: ЦОКОЛЬ 3П NS400/630</v>
      </c>
      <c r="C641" s="11" t="s">
        <v>1</v>
      </c>
    </row>
    <row r="642" spans="1:3" ht="12.75">
      <c r="A642" t="str">
        <f>'[2]Table 1'!B619&amp;": "&amp;'[2]Table 1'!C619</f>
        <v>32895: NS400N 1000В STR23SP400 3П3T+КЛЕМ.ЗАГЛ.</v>
      </c>
      <c r="C642" s="11" t="s">
        <v>1</v>
      </c>
    </row>
    <row r="643" spans="1:3" ht="25.5">
      <c r="A643" s="9" t="str">
        <f>'[2]Table 1'!B620&amp;": "&amp;'[2]Table 1'!C620</f>
        <v>GCRNS6301600CB: ВЫКЛЮЧАТЕЛЬ-РАЗЪЕДИНИТЕЛЬ    INS1250 3П 31334-?</v>
      </c>
      <c r="C643" s="11" t="s">
        <v>1</v>
      </c>
    </row>
    <row r="644" spans="1:3" ht="12.75">
      <c r="A644" t="str">
        <f>'[2]Table 1'!B621&amp;": "&amp;'[2]Table 1'!C621</f>
        <v>ABL8TEQ24600: ИСТОЧНИК ПИТАНИЯ 3-ФАЗНЫЙ 24В 60A</v>
      </c>
      <c r="C644" s="11" t="s">
        <v>1</v>
      </c>
    </row>
    <row r="645" spans="1:3" ht="12.75">
      <c r="A645" t="str">
        <f>'[2]Table 1'!B622&amp;": "&amp;'[2]Table 1'!C622</f>
        <v>29359: АКСЕСС.ПРИСОЕД. ОТХОД.ЛИНИИ 4П NS100/250</v>
      </c>
      <c r="C645" s="11" t="s">
        <v>1</v>
      </c>
    </row>
    <row r="646" spans="1:3" ht="12.75">
      <c r="A646" t="str">
        <f>'[2]Table 1'!B623&amp;": "&amp;'[2]Table 1'!C623</f>
        <v>29451: comhfcn NS 100/250 ADAPTER SDE</v>
      </c>
      <c r="C646" s="11" t="s">
        <v>1</v>
      </c>
    </row>
    <row r="647" spans="1:3" ht="12.75">
      <c r="A647" t="str">
        <f>'[2]Table 1'!B624&amp;": "&amp;'[2]Table 1'!C624</f>
        <v>GV3M63: АВТ. ВЫКЛ С КОМБ. РАСЦЕП.40-63A</v>
      </c>
      <c r="C647" s="11" t="s">
        <v>1</v>
      </c>
    </row>
    <row r="648" spans="1:3" ht="12.75">
      <c r="A648" s="9" t="str">
        <f>'[2]Table 1'!B625&amp;": "&amp;'[2]Table 1'!C625</f>
        <v>LP2D25004MW: КОНТАКТОР РЕВЕРСИВНЫЙ 3П 220V DC 11KW-400V</v>
      </c>
      <c r="C648" s="11" t="s">
        <v>1</v>
      </c>
    </row>
    <row r="649" spans="1:3" ht="12.75">
      <c r="A649" t="str">
        <f>'[2]Table 1'!B626&amp;": "&amp;'[2]Table 1'!C626</f>
        <v>LP1D0901: КОНТАКТОР 3Ф НС 24В</v>
      </c>
      <c r="C649" s="11" t="s">
        <v>1</v>
      </c>
    </row>
    <row r="650" spans="1:3" ht="12.75">
      <c r="A650" t="str">
        <f>'[2]Table 1'!B627&amp;": "&amp;'[2]Table 1'!C627</f>
        <v>15958: МОДУЛЬНЫЙ КОНТАКТОР CT 25A 1НО 230В</v>
      </c>
      <c r="C650" s="11" t="s">
        <v>1</v>
      </c>
    </row>
    <row r="651" spans="1:3" ht="12.75">
      <c r="A651" t="str">
        <f>'[2]Table 1'!B628&amp;": "&amp;'[2]Table 1'!C628</f>
        <v>15963: МОДУЛЬНЫЙ КОНТАКТОР CT 25A 4НЗ 230В</v>
      </c>
      <c r="C651" s="11" t="s">
        <v>1</v>
      </c>
    </row>
    <row r="652" spans="1:3" ht="12.75">
      <c r="A652" t="str">
        <f>'[2]Table 1'!B629&amp;": "&amp;'[2]Table 1'!C629</f>
        <v>16505: ТРАНСФОРМАТОР ТОКА 150/5А</v>
      </c>
      <c r="C652" s="11" t="s">
        <v>1</v>
      </c>
    </row>
    <row r="653" spans="1:3" ht="12.75">
      <c r="A653" t="str">
        <f>'[2]Table 1'!B630&amp;": "&amp;'[2]Table 1'!C630</f>
        <v>15572: ТРАНСФОРМАТОР ТОКА 400/5А</v>
      </c>
      <c r="C653" s="11" t="s">
        <v>1</v>
      </c>
    </row>
    <row r="654" spans="1:3" ht="12.75">
      <c r="A654" t="str">
        <f>'[2]Table 1'!B631&amp;": "&amp;'[2]Table 1'!C631</f>
        <v>50439: ТРАНСФОРМАТОР ТОКА IA80 160A</v>
      </c>
      <c r="C654" s="11" t="s">
        <v>1</v>
      </c>
    </row>
    <row r="655" spans="1:3" ht="12.75">
      <c r="A655" t="str">
        <f>'[2]Table 1'!B632&amp;": "&amp;'[2]Table 1'!C632</f>
        <v>16451: ТРАНСФОРМАТОР ТОКА 50/5А ТРОП. ИСП.</v>
      </c>
      <c r="C655" s="11" t="s">
        <v>1</v>
      </c>
    </row>
    <row r="656" spans="1:3" ht="12.75">
      <c r="A656" t="str">
        <f>'[2]Table 1'!B633&amp;": "&amp;'[2]Table 1'!C633</f>
        <v>16547: ТРАНСФОРМАТОР ТОКА 4000/5А</v>
      </c>
      <c r="C656" s="11" t="s">
        <v>1</v>
      </c>
    </row>
    <row r="657" spans="1:3" ht="12.75">
      <c r="A657" t="str">
        <f>'[2]Table 1'!B634&amp;": "&amp;'[2]Table 1'!C634</f>
        <v>AB1SV2: КАРТРИДЖ СЪЕМНЫЙ С ДИОДОМ ТИПА 1N4007</v>
      </c>
      <c r="C657" s="11" t="s">
        <v>1</v>
      </c>
    </row>
    <row r="658" spans="1:3" ht="25.5">
      <c r="A658" s="9" t="str">
        <f>'[2]Table 1'!B635&amp;": "&amp;'[2]Table 1'!C635</f>
        <v>171CCS70000: ПРОЦЕССОР MOMENTUM M1 20MHZ, 2KWD LOGIC, 2K REG., 1XMODBUS RS232</v>
      </c>
      <c r="C658" s="11" t="s">
        <v>1</v>
      </c>
    </row>
    <row r="659" spans="1:3" ht="25.5">
      <c r="A659" s="9" t="str">
        <f>'[2]Table 1'!B636&amp;": "&amp;'[2]Table 1'!C636</f>
        <v>171CCC78010: ПРОЦЕССОР MOMENTUM M1 32MHZ, 18KWD LOGIC, 26K REG., 2XMBUS RS232/485</v>
      </c>
      <c r="C659" s="11" t="s">
        <v>1</v>
      </c>
    </row>
    <row r="660" spans="1:3" ht="25.5">
      <c r="A660" s="9" t="str">
        <f>'[2]Table 1'!B637&amp;": "&amp;'[2]Table 1'!C637</f>
        <v>172PNN21022: ДОПОЛНИТ.АДАПТЕР MOMENTUM MODBUS+, TOD CLOCK, BATTERY BACKUP</v>
      </c>
      <c r="C660" s="11" t="s">
        <v>1</v>
      </c>
    </row>
    <row r="661" spans="1:3" ht="12.75">
      <c r="A661" t="str">
        <f>'[2]Table 1'!B638&amp;": "&amp;'[2]Table 1'!C638</f>
        <v>TSXISPY100: WEIGING MODULE TSX57</v>
      </c>
      <c r="C661" s="11" t="s">
        <v>1</v>
      </c>
    </row>
    <row r="662" spans="1:3" ht="12.75">
      <c r="A662" t="str">
        <f>'[2]Table 1'!B639&amp;": "&amp;'[2]Table 1'!C639</f>
        <v>170CPS11100: PS 120/230VAC OUT 24VDC 0.7A</v>
      </c>
      <c r="C662" s="11" t="s">
        <v>1</v>
      </c>
    </row>
    <row r="663" spans="1:3" ht="12.75">
      <c r="A663" t="str">
        <f>'[2]Table 1'!B640&amp;": "&amp;'[2]Table 1'!C640</f>
        <v>171CCS70010: PROCESSOR ADAPTER FAST CPU 64K RS232</v>
      </c>
      <c r="C663" s="11" t="s">
        <v>1</v>
      </c>
    </row>
    <row r="664" spans="1:3" ht="12.75">
      <c r="A664" t="str">
        <f>'[2]Table 1'!B641&amp;": "&amp;'[2]Table 1'!C641</f>
        <v>28941: ПЕРЕД. ВЫНОС.ЧЕРН. РУКОЯТ (INS40- INS160)</v>
      </c>
      <c r="C664" s="11" t="s">
        <v>1</v>
      </c>
    </row>
    <row r="665" spans="1:3" ht="12.75">
      <c r="A665" t="str">
        <f>'[2]Table 1'!B642&amp;": "&amp;'[2]Table 1'!C642</f>
        <v>K1F003UC: КУЛАЧКОВЫЙ ПЕРЕК. 22ММ 12А 2+\0\</v>
      </c>
      <c r="C665" s="11" t="s">
        <v>1</v>
      </c>
    </row>
    <row r="666" spans="1:3" ht="12.75">
      <c r="A666" t="str">
        <f>'[2]Table 1'!B643&amp;": "&amp;'[2]Table 1'!C643</f>
        <v>16017: ПЕРЕКЛЮЧАТЕЛЬ АМПЕРМЕТРОВ 4ПОЗИЦИОННЫЙ</v>
      </c>
      <c r="C666" s="11" t="s">
        <v>1</v>
      </c>
    </row>
    <row r="667" spans="1:3" ht="12.75">
      <c r="A667" t="str">
        <f>'[2]Table 1'!B644&amp;": "&amp;'[2]Table 1'!C644</f>
        <v>K1SD55642Z: КУЛАЧКОВЫЙ ПЕРЕК. 3 Позиции</v>
      </c>
      <c r="C667" s="11" t="s">
        <v>1</v>
      </c>
    </row>
    <row r="668" spans="1:3" ht="12.75">
      <c r="A668" t="str">
        <f>'[2]Table 1'!B645&amp;": "&amp;'[2]Table 1'!C645</f>
        <v>140CHS11000: ПРОЦЕССОР ГОРЯЧЕГО РЕЗЕРВА (ВХ. В КОМПЛЕКТ)</v>
      </c>
      <c r="C668" s="11" t="s">
        <v>1</v>
      </c>
    </row>
    <row r="669" spans="1:3" ht="12.75">
      <c r="A669" t="str">
        <f>'[2]Table 1'!B646&amp;": "&amp;'[2]Table 1'!C646</f>
        <v>140DCF07700: Time Sync Input Module</v>
      </c>
      <c r="C669" s="11" t="s">
        <v>1</v>
      </c>
    </row>
    <row r="670" spans="1:3" ht="12.75">
      <c r="A670" t="str">
        <f>'[2]Table 1'!B647&amp;": "&amp;'[2]Table 1'!C647</f>
        <v>140CPU11303: ЦПУ QUANTUM 186 ОЗУ 512K, 10K РЕГ.,1XMBUS/1ХMBUS+</v>
      </c>
      <c r="C670" s="11" t="s">
        <v>1</v>
      </c>
    </row>
    <row r="671" spans="1:3" ht="12.75">
      <c r="A671" t="str">
        <f>'[2]Table 1'!B648&amp;": "&amp;'[2]Table 1'!C648</f>
        <v>TSXP574823M: ПРОЦЕССОР TSX PREMIUM 4823 L3</v>
      </c>
      <c r="C671" s="11" t="s">
        <v>1</v>
      </c>
    </row>
    <row r="672" spans="1:3" ht="38.25">
      <c r="A672" s="9" t="str">
        <f>'[2]Table 1'!B649&amp;": "&amp;'[2]Table 1'!C649</f>
        <v>171CCC98030: ПРОЦЕССОР MOMENTUM M1 50MHZ, 512KB/1MB FLASH, IEC PR., 1XTCP/IP,
1XRS485</v>
      </c>
      <c r="C672" s="11" t="s">
        <v>1</v>
      </c>
    </row>
    <row r="673" spans="1:3" ht="12.75">
      <c r="A673" t="str">
        <f>'[2]Table 1'!B650&amp;": "&amp;'[2]Table 1'!C650</f>
        <v>87504: РЕЗИСТИВН. НАГРЕВАТЕЛЬ 10ВТ 230В</v>
      </c>
      <c r="C673" s="11" t="s">
        <v>1</v>
      </c>
    </row>
    <row r="674" spans="1:3" ht="12.75">
      <c r="A674" t="str">
        <f>'[2]Table 1'!B651&amp;": "&amp;'[2]Table 1'!C651</f>
        <v>4431889: Ручка двери SAREL</v>
      </c>
      <c r="C674" s="11" t="s">
        <v>1</v>
      </c>
    </row>
    <row r="675" spans="1:3" ht="12.75">
      <c r="A675" t="str">
        <f>'[2]Table 1'!B652&amp;": "&amp;'[2]Table 1'!C652</f>
        <v>HHH6701940001: Ручка двери с кл. SE</v>
      </c>
      <c r="C675" s="11" t="s">
        <v>1</v>
      </c>
    </row>
    <row r="676" spans="1:3" ht="12.75">
      <c r="A676" t="str">
        <f>'[2]Table 1'!B653&amp;": "&amp;'[2]Table 1'!C653</f>
        <v>ВПК2112-БУ: ВЫКЛЮЧАТЕЛЬ ПУТЕВОЙ</v>
      </c>
      <c r="C676" s="11" t="s">
        <v>1</v>
      </c>
    </row>
    <row r="677" spans="1:3" ht="12.75">
      <c r="A677" t="str">
        <f>'[2]Table 1'!B654&amp;": "&amp;'[2]Table 1'!C654</f>
        <v>51338: РУЧКА / ЛИЧИНКА С КЛЮЧОМ</v>
      </c>
      <c r="C677" s="11" t="s">
        <v>1</v>
      </c>
    </row>
    <row r="678" spans="1:3" ht="12.75">
      <c r="A678" t="str">
        <f>'[2]Table 1'!B655&amp;": "&amp;'[2]Table 1'!C655</f>
        <v>NSYIN124E1: ЦИЛИНДР. ЛИЧИНКА КЛЮЧ 124</v>
      </c>
      <c r="C678" s="11" t="s">
        <v>1</v>
      </c>
    </row>
    <row r="679" spans="1:3" ht="13.5" customHeight="1">
      <c r="A679" t="str">
        <f>'[2]Table 1'!B656&amp;": "&amp;'[2]Table 1'!C656</f>
        <v>51332: РУЧКА / ЛИЧИНКА С КЛЮЧОМ</v>
      </c>
      <c r="C679" s="11" t="s">
        <v>1</v>
      </c>
    </row>
    <row r="680" spans="1:3" ht="12.75">
      <c r="A680" t="str">
        <f>'[2]Table 1'!B657&amp;": "&amp;'[2]Table 1'!C657</f>
        <v>17996: РЕШЕТКА SAREL</v>
      </c>
      <c r="C680" s="11" t="s">
        <v>1</v>
      </c>
    </row>
    <row r="681" spans="1:3" ht="12.75">
      <c r="A681" t="str">
        <f>'[2]Table 1'!B658&amp;": "&amp;'[2]Table 1'!C658</f>
        <v>17911: РЕШЕТКА SAREL</v>
      </c>
      <c r="C681" s="11" t="s">
        <v>1</v>
      </c>
    </row>
    <row r="682" spans="1:3" ht="12.75">
      <c r="A682" t="str">
        <f>'[2]Table 1'!B659&amp;": "&amp;'[2]Table 1'!C659</f>
        <v>ABL4RSM24100: БЛОК ПИТАНИЯ SLIM 1ФАЗ 24В 10A</v>
      </c>
      <c r="C682" s="11" t="s">
        <v>1</v>
      </c>
    </row>
    <row r="683" spans="1:3" ht="12.75">
      <c r="A683" t="str">
        <f>'[2]Table 1'!B660&amp;": "&amp;'[2]Table 1'!C660</f>
        <v>ABL8RPS24200: Блок питания универсал 1-фазный 24В 20А</v>
      </c>
      <c r="C683" s="11" t="s">
        <v>1</v>
      </c>
    </row>
    <row r="684" spans="1:3" ht="12.75">
      <c r="A684" t="str">
        <f>'[2]Table 1'!B661&amp;": "&amp;'[2]Table 1'!C661</f>
        <v>TWDLMDA20DRT: МОДУЛЬНЫЙ ПЛК =24В, 12ВХ/8ВЫХ КЛЕМ.БЛОК</v>
      </c>
      <c r="C684" s="11" t="s">
        <v>1</v>
      </c>
    </row>
    <row r="685" spans="1:3" ht="12.75">
      <c r="A685" t="str">
        <f>'[2]Table 1'!B662&amp;": "&amp;'[2]Table 1'!C662</f>
        <v>TWDNAC485T: TWIDO МОДУЛЬ С АДАПТЕР RS485 КЛЕМ. БЛОК</v>
      </c>
      <c r="C685" s="11" t="s">
        <v>1</v>
      </c>
    </row>
    <row r="686" spans="1:3" ht="12.75">
      <c r="A686" t="str">
        <f>'[2]Table 1'!B663&amp;": "&amp;'[2]Table 1'!C663</f>
        <v>TWDNOZ485T: TWIDO АДАПТЕР RS485 КЛЕМ. БЛОК</v>
      </c>
      <c r="C686" s="11" t="s">
        <v>1</v>
      </c>
    </row>
    <row r="687" spans="1:3" ht="12.75">
      <c r="A687" t="str">
        <f>'[2]Table 1'!B664&amp;": "&amp;'[2]Table 1'!C664</f>
        <v>EGX100MG: ETHERNET ШЛЮЗ EGX100</v>
      </c>
      <c r="C687" s="11" t="s">
        <v>1</v>
      </c>
    </row>
    <row r="688" spans="1:3" ht="12.75">
      <c r="A688" t="str">
        <f>'[2]Table 1'!B665&amp;": "&amp;'[2]Table 1'!C665</f>
        <v>TLXCDLUOFS33: OPC СЕРВЕР, OFS V 3.3 LARGE</v>
      </c>
      <c r="C688" s="11" t="s">
        <v>1</v>
      </c>
    </row>
    <row r="689" spans="1:3" ht="12.75">
      <c r="A689" t="str">
        <f>'[2]Table 1'!B666&amp;": "&amp;'[2]Table 1'!C666</f>
        <v>13508: КЛЕММНЫЙ БЛОК 4P 40A 4X13 ОТВ.</v>
      </c>
      <c r="C689" s="11" t="s">
        <v>1</v>
      </c>
    </row>
    <row r="690" spans="1:3" ht="12.75">
      <c r="A690" t="str">
        <f>'[2]Table 1'!B667&amp;": "&amp;'[2]Table 1'!C667</f>
        <v>14937: РАСПРЕД. БЛОК, 2 ПОЛЮСА, 25 ММ2</v>
      </c>
      <c r="C690" s="11" t="s">
        <v>1</v>
      </c>
    </row>
    <row r="691" spans="1:3" ht="25.5">
      <c r="A691" s="9" t="str">
        <f>'[2]Table 1'!B668&amp;": "&amp;'[2]Table 1'!C668</f>
        <v>SK3240200: ВЫХОДНОЙ ФИЛЬТР(РЕШ. ВЕНТ) 255 x 255 x 25 ЦВЕТ- RAL7035</v>
      </c>
      <c r="C691" s="11" t="s">
        <v>1</v>
      </c>
    </row>
    <row r="692" spans="1:3" ht="25.5">
      <c r="A692" s="9" t="str">
        <f>'[2]Table 1'!B669&amp;": "&amp;'[2]Table 1'!C669</f>
        <v>AB1CP1: КОЖУХ ЗАЩИТНЫЙ ДЛЯ КЛЕММНИКОВ СЕЧЕНИЕМ ПРОВОДА 95ММ2</v>
      </c>
      <c r="C692" s="11" t="s">
        <v>1</v>
      </c>
    </row>
    <row r="693" spans="1:3" ht="15.75" customHeight="1">
      <c r="A693" s="9" t="str">
        <f>'[2]Table 1'!B670&amp;": "&amp;'[2]Table 1'!C670</f>
        <v>SK3243200: ВЫХОДНОЙ ФИЛЬТР (РЕШ. ВЕНТ) 323х323х25 ЦВЕТ- RAL7035</v>
      </c>
      <c r="C693" s="11" t="s">
        <v>1</v>
      </c>
    </row>
    <row r="694" spans="1:3" ht="25.5">
      <c r="A694" s="9" t="str">
        <f>'[2]Table 1'!B671&amp;": "&amp;'[2]Table 1'!C671</f>
        <v>AB1CP2: КОЖУХ ЗАЩИТНЫЙ ДЛЯ КЛЕММНИКОВ СЕЧЕНИЕМ ПРОВОДА 150...240ММ2</v>
      </c>
      <c r="C694" s="11" t="s">
        <v>1</v>
      </c>
    </row>
    <row r="695" spans="1:3" ht="12.75">
      <c r="A695" t="str">
        <f>'[2]Table 1'!B672&amp;": "&amp;'[2]Table 1'!C672</f>
        <v>VW3A58101: Рабочий терминал для ATV-58 всех типоразмеров VW</v>
      </c>
      <c r="C695" s="11" t="s">
        <v>1</v>
      </c>
    </row>
    <row r="696" spans="1:3" ht="11.25" customHeight="1">
      <c r="A696" t="str">
        <f>'[2]Table 1'!B673&amp;": "&amp;'[2]Table 1'!C673</f>
        <v>VW3A58736: ЗАЩ. ТОРМ. РЕЗИСТОР IP30 D16/D23N4</v>
      </c>
      <c r="C696" s="11" t="s">
        <v>1</v>
      </c>
    </row>
    <row r="697" spans="1:3" ht="25.5">
      <c r="A697" s="9" t="str">
        <f>'[2]Table 1'!B674&amp;": "&amp;'[2]Table 1'!C674</f>
        <v>XB4BL845: КНОПКА 22ММ КРАСНАЯ/ЗЕЛЕНАЯС ВОЗВРАТОМ И ПОДСВЕТКОЙ 24 VDC</v>
      </c>
      <c r="C697" s="11" t="s">
        <v>1</v>
      </c>
    </row>
    <row r="698" spans="1:3" ht="12.75">
      <c r="A698" t="str">
        <f>'[2]Table 1'!B675&amp;": "&amp;'[2]Table 1'!C675</f>
        <v>XB7EA2P: КНОПКА 22ММ КРАСНАЯ С ВОЗВРАТОМ</v>
      </c>
      <c r="C698" s="11" t="s">
        <v>1</v>
      </c>
    </row>
    <row r="699" spans="1:3" ht="12.75">
      <c r="A699" t="str">
        <f>'[2]Table 1'!B676&amp;": "&amp;'[2]Table 1'!C676</f>
        <v>XB5AА42: КНОПКА 22ММ КРАСНАЯ С ВОЗВРАТОМ</v>
      </c>
      <c r="C699" s="11" t="s">
        <v>1</v>
      </c>
    </row>
    <row r="700" spans="1:3" ht="12.75">
      <c r="A700" t="str">
        <f>'[2]Table 1'!B677&amp;": "&amp;'[2]Table 1'!C677</f>
        <v>ZB5P0A: НАКЛАДКА НА КНОПКИ СИЛИКОН</v>
      </c>
      <c r="C700" s="11" t="s">
        <v>1</v>
      </c>
    </row>
    <row r="701" spans="1:3" ht="12.75">
      <c r="A701" t="str">
        <f>'[2]Table 1'!B678&amp;": "&amp;'[2]Table 1'!C678</f>
        <v>ZA2BY4303: МАРКИРОВКА START( узкая)</v>
      </c>
      <c r="C701" s="11" t="s">
        <v>1</v>
      </c>
    </row>
    <row r="702" spans="1:3" ht="12.75">
      <c r="A702" t="str">
        <f>'[2]Table 1'!B679&amp;": "&amp;'[2]Table 1'!C679</f>
        <v>5123010010: Датчик STD100-250</v>
      </c>
      <c r="C702" s="11" t="s">
        <v>1</v>
      </c>
    </row>
    <row r="703" spans="1:3" ht="12.75">
      <c r="A703" t="str">
        <f>'[2]Table 1'!B680&amp;": "&amp;'[2]Table 1'!C680</f>
        <v>5123212000: Датчик накладной STC110-400</v>
      </c>
      <c r="C703" s="11" t="s">
        <v>1</v>
      </c>
    </row>
    <row r="704" spans="1:3" ht="12.75">
      <c r="A704" t="str">
        <f>'[2]Table 1'!B681&amp;": "&amp;'[2]Table 1'!C681</f>
        <v>331101: Датчик PT100</v>
      </c>
      <c r="C704" s="11" t="s">
        <v>1</v>
      </c>
    </row>
    <row r="705" spans="1:3" ht="12.75">
      <c r="A705" t="str">
        <f>'[2]Table 1'!B682&amp;": "&amp;'[2]Table 1'!C682</f>
        <v>5123210000: Датчик накладной STC110-200</v>
      </c>
      <c r="C705" s="11" t="s">
        <v>1</v>
      </c>
    </row>
    <row r="706" spans="1:3" ht="12.75">
      <c r="A706" t="str">
        <f>'[2]Table 1'!B683&amp;": "&amp;'[2]Table 1'!C683</f>
        <v>5123102010: Датчик STP100-50</v>
      </c>
      <c r="C706" s="11" t="s">
        <v>1</v>
      </c>
    </row>
    <row r="707" spans="1:3" ht="12.75">
      <c r="A707" t="str">
        <f>'[2]Table 1'!B684&amp;": "&amp;'[2]Table 1'!C684</f>
        <v>29322: 2 КОРОТ.КЛЕМ.ЗАГЛУШКИ 4П NS100/250</v>
      </c>
      <c r="C707" s="11" t="s">
        <v>1</v>
      </c>
    </row>
    <row r="708" spans="1:3" ht="12.75">
      <c r="A708" t="str">
        <f>'[2]Table 1'!B685&amp;": "&amp;'[2]Table 1'!C685</f>
        <v>33648: 3 ШТ РАЗДЕЛИТЕЛИ ПОЛЮСОВ NT</v>
      </c>
      <c r="C708" s="11" t="s">
        <v>1</v>
      </c>
    </row>
    <row r="709" spans="1:3" ht="12.75">
      <c r="A709" t="str">
        <f>'[2]Table 1'!B686&amp;": "&amp;'[2]Table 1'!C686</f>
        <v>29321: 2 КОРОТ.КЛЕМ.ЗАГЛУШКИ 3П NS100/250</v>
      </c>
      <c r="C709" s="11" t="s">
        <v>1</v>
      </c>
    </row>
    <row r="710" spans="1:3" ht="25.5">
      <c r="A710" s="9" t="str">
        <f>'[2]Table 1'!B687&amp;": "&amp;'[2]Table 1'!C687</f>
        <v>RXN21E12P7: МИНИАТЮРНОЕ РЕЛЕ, 2 ПЕРЕКИДНЫХ КОНТАКТА, СВЕТОДИОД, КАТУШКА 220В Пер ТОКА</v>
      </c>
      <c r="C710" s="11" t="s">
        <v>1</v>
      </c>
    </row>
    <row r="711" spans="1:3" ht="25.5">
      <c r="A711" s="9" t="str">
        <f>'[2]Table 1'!B688&amp;": "&amp;'[2]Table 1'!C688</f>
        <v>RXN41G12BD: МИНИАТЮРНОЕ РЕЛЕ, 4 ПЕРЕКИДНЫХ КОНТАКТА, СВЕТОДИОД, КАТУШКА 24В ПОСТ ТОКА</v>
      </c>
      <c r="C711" s="11" t="s">
        <v>1</v>
      </c>
    </row>
    <row r="712" spans="1:3" ht="25.5">
      <c r="A712" s="9" t="str">
        <f>'[2]Table 1'!B689&amp;": "&amp;'[2]Table 1'!C689</f>
        <v>RXN21E12BD: МИНИАТЮРНОЕ РЕЛЕ, 2 ПЕРЕКИДНЫХ КОНТАКТА, СВЕТОДИОД, КАТУШКА 24В ПОСТ ТОКА</v>
      </c>
      <c r="C712" s="11" t="s">
        <v>1</v>
      </c>
    </row>
    <row r="713" spans="1:3" ht="12.75">
      <c r="A713" t="str">
        <f>'[2]Table 1'!B690&amp;": "&amp;'[2]Table 1'!C690</f>
        <v>RM4TU02: РЕЛЕ КОНТРОЛЯ 3-ФАЗНОЙ СЕТИ 380/500В</v>
      </c>
      <c r="C713" s="11" t="s">
        <v>1</v>
      </c>
    </row>
    <row r="714" spans="1:3" ht="12.75">
      <c r="A714" t="str">
        <f>'[2]Table 1'!B691&amp;": "&amp;'[2]Table 1'!C691</f>
        <v>RM4JA32M: РЕЛЕ ИЗМЕРЕНИЯ ТОКА 0,3-15A ~220-240В</v>
      </c>
      <c r="C714" s="11" t="s">
        <v>1</v>
      </c>
    </row>
    <row r="715" spans="1:3" ht="12.75">
      <c r="A715" t="str">
        <f>'[2]Table 1'!B692&amp;": "&amp;'[2]Table 1'!C692</f>
        <v>RM4JA32MW: РЕЛЕ ИЗМЕРЕНИЯ ТОКА 0,3-15A ~/=24-240В</v>
      </c>
      <c r="C715" s="11" t="s">
        <v>1</v>
      </c>
    </row>
    <row r="716" spans="1:3" ht="12.75">
      <c r="A716" t="str">
        <f>'[2]Table 1'!B693&amp;": "&amp;'[2]Table 1'!C693</f>
        <v>RM4JA31M: РЕЛЕ ИЗМЕРЕНИЯ 3MA 1A</v>
      </c>
      <c r="C716" s="11" t="s">
        <v>1</v>
      </c>
    </row>
    <row r="717" spans="1:3" ht="12.75">
      <c r="A717" t="str">
        <f>'[2]Table 1'!B694&amp;": "&amp;'[2]Table 1'!C694</f>
        <v>RE9MS21MW: РЕЛЕ ВРЕМЕНИ</v>
      </c>
      <c r="C717" s="11" t="s">
        <v>1</v>
      </c>
    </row>
    <row r="718" spans="1:3" ht="12.75">
      <c r="A718" t="str">
        <f>'[2]Table 1'!B695&amp;": "&amp;'[2]Table 1'!C695</f>
        <v>RM35LV14MV: РЕЛЕ КОНТРОЛЯ УРОВНЯ</v>
      </c>
      <c r="C718" s="11" t="s">
        <v>1</v>
      </c>
    </row>
    <row r="719" spans="1:3" ht="12.75">
      <c r="A719" t="str">
        <f>'[2]Table 1'!B696&amp;": "&amp;'[2]Table 1'!C696</f>
        <v>15518: ИМПУЛЬСНОЕ РЕЛЕ TLC 1НО 16A 230В</v>
      </c>
      <c r="C719" s="11" t="s">
        <v>1</v>
      </c>
    </row>
    <row r="720" spans="1:3" ht="12.75">
      <c r="A720" t="str">
        <f>'[2]Table 1'!B697&amp;": "&amp;'[2]Table 1'!C697</f>
        <v>15512: ИМПУЛЬСНОЕ РЕЛЕ TL 1НО 16A 48В</v>
      </c>
      <c r="C720" s="11" t="s">
        <v>1</v>
      </c>
    </row>
    <row r="721" spans="1:3" ht="12.75">
      <c r="A721" t="str">
        <f>'[2]Table 1'!B698&amp;": "&amp;'[2]Table 1'!C698</f>
        <v>PK101DEK: РЕЛЕ КОНТРОЛЯ ФАЗ DEKRAFT</v>
      </c>
      <c r="C721" s="11" t="s">
        <v>1</v>
      </c>
    </row>
    <row r="722" spans="1:3" ht="12.75">
      <c r="A722" t="str">
        <f>'[2]Table 1'!B699&amp;": "&amp;'[2]Table 1'!C699</f>
        <v>RXZM031BN: ДИОД+ЗЕЛ. LED 24/60VDC-A1+</v>
      </c>
      <c r="C722" s="11" t="s">
        <v>1</v>
      </c>
    </row>
    <row r="723" spans="1:3" ht="12.75">
      <c r="A723" t="str">
        <f>'[2]Table 1'!B700&amp;": "&amp;'[2]Table 1'!C700</f>
        <v>GV2AN11: ДОП. КОНТ. 1НО 1НЗ</v>
      </c>
      <c r="C723" s="11" t="s">
        <v>1</v>
      </c>
    </row>
    <row r="724" spans="1:3" ht="12.75">
      <c r="A724" t="str">
        <f>'[2]Table 1'!B701&amp;": "&amp;'[2]Table 1'!C701</f>
        <v>LA1DN10: ДОП КОНТ. 1НО</v>
      </c>
      <c r="C724" s="11" t="s">
        <v>1</v>
      </c>
    </row>
    <row r="725" spans="1:3" ht="12.75">
      <c r="A725" t="str">
        <f>'[2]Table 1'!B702&amp;": "&amp;'[2]Table 1'!C702</f>
        <v>174CEV30010: MODBUS ETHERNET BRIDGE (SERIAL - ETHERNET)</v>
      </c>
      <c r="C725" s="11" t="s">
        <v>1</v>
      </c>
    </row>
    <row r="726" spans="1:3" ht="12.75">
      <c r="A726" t="str">
        <f>'[2]Table 1'!B703&amp;": "&amp;'[2]Table 1'!C703</f>
        <v>174CEV30020: MODBUS ETHERNET BRIDGE (MODBUS - ETHERNET)</v>
      </c>
      <c r="C726" s="11" t="s">
        <v>1</v>
      </c>
    </row>
    <row r="727" spans="1:3" ht="12.75">
      <c r="A727" t="str">
        <f>'[2]Table 1'!B704&amp;": "&amp;'[2]Table 1'!C704</f>
        <v>33104: PROGRAMMABLES CONTACTS (M6c)</v>
      </c>
      <c r="C727" s="11" t="s">
        <v>1</v>
      </c>
    </row>
    <row r="728" spans="1:3" ht="12.75">
      <c r="A728" t="str">
        <f>'[2]Table 1'!B705&amp;": "&amp;'[2]Table 1'!C705</f>
        <v>8913: 12 ЗАЩЁЛКИВАЮЩИХСЯ ЭТИКЕТОК, 18Х35 ММ</v>
      </c>
      <c r="C728" s="11" t="s">
        <v>1</v>
      </c>
    </row>
    <row r="729" spans="1:3" ht="12.75">
      <c r="A729" s="9" t="str">
        <f>'[2]Table 1'!B706&amp;": "&amp;'[2]Table 1'!C706</f>
        <v>8915: 12 ЗАЩЁЛКИВАЮЩИХСЯ ЭТИКЕТОК, 18Х72 ММ</v>
      </c>
      <c r="C729" s="11" t="s">
        <v>1</v>
      </c>
    </row>
    <row r="730" spans="1:3" ht="25.5">
      <c r="A730" s="9" t="str">
        <f>'[2]Table 1'!B707&amp;": "&amp;'[2]Table 1'!C707</f>
        <v>8917: 12 ЗАЩЁЛКИВАЮЩИХСЯ ЭТИКЕТОК, 25 ?
85 ММ</v>
      </c>
      <c r="C730" s="11" t="s">
        <v>1</v>
      </c>
    </row>
    <row r="731" spans="1:3" ht="25.5">
      <c r="A731" s="9" t="str">
        <f>'[2]Table 1'!B708&amp;": "&amp;'[2]Table 1'!C708</f>
        <v>AB1FUSE435U5X: КЛЕММНИК ВИНТ,4ММ2,С ДЕРЖАТЕЛЕМ- РАЪЕД ПЛАВКОГО ПРЕДОХРАНИТЕЛЯ 5*20 ИЛИ 5*25</v>
      </c>
      <c r="C731" s="11" t="s">
        <v>1</v>
      </c>
    </row>
    <row r="732" spans="1:3" ht="12.75">
      <c r="A732" s="9" t="str">
        <f>'[2]Table 1'!B709&amp;": "&amp;'[2]Table 1'!C709</f>
        <v>15636: РАЗЪЕД-ЛЬ ПРЕДОХР. STI 1П 10,3X38 500В</v>
      </c>
      <c r="C732" s="11" t="s">
        <v>1</v>
      </c>
    </row>
    <row r="733" spans="1:3" ht="25.5">
      <c r="A733" s="9" t="str">
        <f>'[2]Table 1'!B710&amp;": "&amp;'[2]Table 1'!C710</f>
        <v>15645: РАЗЪЕД-ЛЬ ПРЕДОХР STI 1П+Н 8,5X31,5
400В+ предохр к ним</v>
      </c>
      <c r="C733" s="11" t="s">
        <v>1</v>
      </c>
    </row>
    <row r="734" spans="1:3" ht="25.5">
      <c r="A734" s="9" t="str">
        <f>'[2]Table 1'!B711&amp;": "&amp;'[2]Table 1'!C711</f>
        <v>AB1FU10135UU: КЛЕММНИК ВИНТ,ДЛЯ ПРОВОДА 10ММ2,С ПЛАВКИМ ПРЕДОХРАНИТЕЛЕМ 5*20,СВЕТОДИОДОМ 250 В</v>
      </c>
      <c r="C734" s="11" t="s">
        <v>1</v>
      </c>
    </row>
    <row r="735" spans="1:3" ht="25.5">
      <c r="A735" s="9" t="str">
        <f>'[2]Table 1'!B712&amp;": "&amp;'[2]Table 1'!C712</f>
        <v>AB1FUSE435U5XB: КЛЕММНИК ВИНТ,ПРОВОД 4ММ2,С ДЕРЖАТЕЛЕМ-РАЪЕД ПЛАВК ПРЕДОХР 5*20/5*25,СВТД 12-24В</v>
      </c>
      <c r="C735" s="11" t="s">
        <v>1</v>
      </c>
    </row>
    <row r="736" spans="1:3" ht="12.75">
      <c r="A736" t="str">
        <f>'[2]Table 1'!B713&amp;": "&amp;'[2]Table 1'!C713</f>
        <v>15734: ПРЕДОХР 8х31 4А</v>
      </c>
      <c r="C736" s="11" t="s">
        <v>1</v>
      </c>
    </row>
    <row r="737" spans="1:3" ht="12.75">
      <c r="A737" t="str">
        <f>'[2]Table 1'!B714&amp;": "&amp;'[2]Table 1'!C714</f>
        <v>15735: ПРЕДОХР 8х31 6А</v>
      </c>
      <c r="C737" s="11" t="s">
        <v>1</v>
      </c>
    </row>
    <row r="738" spans="1:3" ht="12.75">
      <c r="A738" t="str">
        <f>'[2]Table 1'!B715&amp;": "&amp;'[2]Table 1'!C715</f>
        <v>20536: АВТ. ВЫКЛ. C32H-DC 1П 16A C</v>
      </c>
      <c r="C738" s="11" t="s">
        <v>1</v>
      </c>
    </row>
    <row r="739" spans="1:3" ht="12.75">
      <c r="A739" t="str">
        <f>'[2]Table 1'!B716&amp;": "&amp;'[2]Table 1'!C716</f>
        <v>20542: АВТ. ВЫКЛ. C32H-DC 2П 2A C</v>
      </c>
      <c r="C739" s="11" t="s">
        <v>1</v>
      </c>
    </row>
    <row r="740" spans="1:3" ht="12.75">
      <c r="A740" t="str">
        <f>'[2]Table 1'!B717&amp;": "&amp;'[2]Table 1'!C717</f>
        <v>MGN61528: АВТ. ВЫКЛ.C60H-DC 2П 10А C 500В DC</v>
      </c>
      <c r="C740" s="11" t="s">
        <v>1</v>
      </c>
    </row>
    <row r="741" spans="1:3" ht="12.75">
      <c r="A741" t="str">
        <f>'[2]Table 1'!B718&amp;": "&amp;'[2]Table 1'!C718</f>
        <v>20544: АВТ. ВЫКЛ. C32H-DC 2П 6A C</v>
      </c>
      <c r="C741" s="11" t="s">
        <v>1</v>
      </c>
    </row>
    <row r="742" spans="1:3" ht="12.75">
      <c r="A742" t="str">
        <f>'[2]Table 1'!B719&amp;": "&amp;'[2]Table 1'!C719</f>
        <v>20534: АВТ. ВЫКЛ. C32H-DC 1П 6A C</v>
      </c>
      <c r="C742" s="11" t="s">
        <v>1</v>
      </c>
    </row>
    <row r="743" spans="1:3" ht="12.75">
      <c r="A743" t="str">
        <f>'[2]Table 1'!B720&amp;": "&amp;'[2]Table 1'!C720</f>
        <v>20535: АВТ. ВЫКЛ. C32H-DC 1П 10A C</v>
      </c>
      <c r="C743" s="11" t="s">
        <v>1</v>
      </c>
    </row>
    <row r="744" spans="1:3" ht="12.75">
      <c r="A744" t="str">
        <f>'[2]Table 1'!B721&amp;": "&amp;'[2]Table 1'!C721</f>
        <v>MGN61522: АВТ. ВЫКЛ. C60Р-DC 2П 2A 500 VDC</v>
      </c>
      <c r="C744" s="11" t="s">
        <v>1</v>
      </c>
    </row>
    <row r="745" spans="1:3" ht="12.75">
      <c r="A745" t="str">
        <f>'[2]Table 1'!B722&amp;": "&amp;'[2]Table 1'!C722</f>
        <v>20543: АВТ. ВЫКЛ. C32H-DC 2П 3A C</v>
      </c>
      <c r="C745" s="11" t="s">
        <v>1</v>
      </c>
    </row>
    <row r="746" spans="1:3" ht="12.75">
      <c r="A746" t="str">
        <f>'[2]Table 1'!B723&amp;": "&amp;'[2]Table 1'!C723</f>
        <v>18322: СВЕТОВОЙ ИНДИКАТОР iIL БЕЛЫЙ 230В</v>
      </c>
      <c r="C746" s="11" t="s">
        <v>1</v>
      </c>
    </row>
    <row r="747" spans="1:3" ht="12.75">
      <c r="A747" t="str">
        <f>'[2]Table 1'!B724&amp;": "&amp;'[2]Table 1'!C724</f>
        <v>18073: ПЕРЕКЛЮЧАТЕЛЬ SSW 3 ПОЛ. 1 ПЕРЕК. КОНТ.</v>
      </c>
      <c r="C747" s="11" t="s">
        <v>1</v>
      </c>
    </row>
    <row r="748" spans="1:3" ht="12.75">
      <c r="A748" t="str">
        <f>'[2]Table 1'!B725&amp;": "&amp;'[2]Table 1'!C725</f>
        <v>26595: БЛОК ДИФФ ЗАЩ VIGI C60 4П 25A 30МА</v>
      </c>
      <c r="C748" s="11" t="s">
        <v>1</v>
      </c>
    </row>
    <row r="749" spans="1:3" ht="12.75">
      <c r="A749" t="str">
        <f>'[2]Table 1'!B726&amp;": "&amp;'[2]Table 1'!C726</f>
        <v>26613BA: БЛОК ДИФФ ЗАЩ VIGI C60 2П 63A 300МА</v>
      </c>
      <c r="C749" s="11" t="s">
        <v>1</v>
      </c>
    </row>
    <row r="750" spans="1:3" ht="12.75">
      <c r="A750" t="str">
        <f>'[2]Table 1'!B727&amp;": "&amp;'[2]Table 1'!C727</f>
        <v>26680BA: БЛОК ДИФФ ЗАЩ VIGI C60 2П 25A 100МА A</v>
      </c>
      <c r="C750" s="11" t="s">
        <v>1</v>
      </c>
    </row>
    <row r="751" spans="1:3" ht="12.75">
      <c r="A751" t="str">
        <f>'[2]Table 1'!B728&amp;": "&amp;'[2]Table 1'!C728</f>
        <v>23382: ДИФФ.ВЫКЛ.НАГР ID 4П 40A 30МА A</v>
      </c>
      <c r="C751" s="11" t="s">
        <v>1</v>
      </c>
    </row>
    <row r="752" spans="1:3" ht="12.75">
      <c r="A752" t="str">
        <f>'[2]Table 1'!B729&amp;": "&amp;'[2]Table 1'!C729</f>
        <v>27799: ДИФФ. АВТ. NC100/63A-3P-300MA</v>
      </c>
      <c r="C752" s="11" t="s">
        <v>1</v>
      </c>
    </row>
    <row r="753" spans="1:3" ht="12.75">
      <c r="A753" t="str">
        <f>'[2]Table 1'!B730&amp;": "&amp;'[2]Table 1'!C730</f>
        <v>A9S60363: ВЫКЛЮЧАТЕЛЬ НАГРУЗКИ iSW 3П 63A</v>
      </c>
      <c r="C753" s="11" t="s">
        <v>1</v>
      </c>
    </row>
    <row r="754" spans="1:3" ht="12.75">
      <c r="A754" t="str">
        <f>'[2]Table 1'!B731&amp;": "&amp;'[2]Table 1'!C731</f>
        <v>19669: ДИФФ.АВТ.ВЫКЛ. DPN N VIGI 6КА 40A C 30МA</v>
      </c>
      <c r="C754" s="11" t="s">
        <v>1</v>
      </c>
    </row>
    <row r="755" spans="1:3" ht="12.75">
      <c r="A755" t="str">
        <f>'[2]Table 1'!B732&amp;": "&amp;'[2]Table 1'!C732</f>
        <v>18071: ПЕРЕКЛЮЧАТЕЛЬ SSW 2 ПОЛ. 2 ПЕРЕК. КОНТ.</v>
      </c>
      <c r="C755" s="11" t="s">
        <v>1</v>
      </c>
    </row>
    <row r="756" spans="1:3" ht="12.75">
      <c r="A756" t="str">
        <f>'[2]Table 1'!B733&amp;": "&amp;'[2]Table 1'!C733</f>
        <v>24395: АВТОМАТИЧЕСКИЙ ВЫКЛ. C60N 1П 1A C</v>
      </c>
      <c r="C756" s="11" t="s">
        <v>1</v>
      </c>
    </row>
    <row r="757" spans="1:3" ht="12.75">
      <c r="A757" t="str">
        <f>'[2]Table 1'!B734&amp;": "&amp;'[2]Table 1'!C734</f>
        <v>23850: АВТОМАТИЧЕСКИЙ ВЫКЛ. C60а 1П 10A C</v>
      </c>
      <c r="C757" s="11" t="s">
        <v>1</v>
      </c>
    </row>
    <row r="758" spans="1:3" ht="12.75">
      <c r="A758" t="str">
        <f>'[2]Table 1'!B735&amp;": "&amp;'[2]Table 1'!C735</f>
        <v>24580: АВТОМАТИЧЕСКИЙ ВЫКЛ. C60N 2П 1A D</v>
      </c>
      <c r="C758" s="11" t="s">
        <v>1</v>
      </c>
    </row>
    <row r="759" spans="1:3" ht="12.75">
      <c r="A759" t="str">
        <f>'[2]Table 1'!B736&amp;": "&amp;'[2]Table 1'!C736</f>
        <v>24331: АВТОМАТИЧЕСКИЙ ВЫКЛ. C60N 2П 1A C</v>
      </c>
      <c r="C759" s="11" t="s">
        <v>1</v>
      </c>
    </row>
    <row r="760" spans="1:3" ht="12.75">
      <c r="A760" t="str">
        <f>'[2]Table 1'!B737&amp;": "&amp;'[2]Table 1'!C737</f>
        <v>24516: АВТ. ВЫКЛ. C60N 2П 1A D</v>
      </c>
      <c r="C760" s="11" t="s">
        <v>1</v>
      </c>
    </row>
    <row r="761" spans="1:3" ht="12.75">
      <c r="A761" t="str">
        <f>'[2]Table 1'!B738&amp;": "&amp;'[2]Table 1'!C738</f>
        <v>24045: АВТОМАТИЧЕСКИЙ ВЫКЛ. C60N 1П 1A B</v>
      </c>
      <c r="C761" s="11" t="s">
        <v>1</v>
      </c>
    </row>
    <row r="762" spans="1:3" ht="12.75">
      <c r="A762" t="str">
        <f>'[2]Table 1'!B739&amp;": "&amp;'[2]Table 1'!C739</f>
        <v>24071: АВТ. ВЫКЛ. C60N 2П 1A B</v>
      </c>
      <c r="C762" s="11" t="s">
        <v>1</v>
      </c>
    </row>
    <row r="763" spans="1:3" ht="12.75">
      <c r="A763" t="str">
        <f>'[2]Table 1'!B740&amp;": "&amp;'[2]Table 1'!C740</f>
        <v>24581: АВТ. ВЫКЛ. C60N 2П 2A D</v>
      </c>
      <c r="C763" s="11" t="s">
        <v>1</v>
      </c>
    </row>
    <row r="764" spans="1:3" ht="12.75">
      <c r="A764" t="str">
        <f>'[2]Table 1'!B741&amp;": "&amp;'[2]Table 1'!C741</f>
        <v>24332: АВТОМАТИЧЕСКИЙ ВЫКЛ. C60N 2П 2A C</v>
      </c>
      <c r="C764" s="11" t="s">
        <v>1</v>
      </c>
    </row>
    <row r="765" spans="1:3" ht="12.75">
      <c r="A765" t="str">
        <f>'[2]Table 1'!B742&amp;": "&amp;'[2]Table 1'!C742</f>
        <v>24072: АВТ. ВЫКЛ. C60N 2П 2A B</v>
      </c>
      <c r="C765" s="11" t="s">
        <v>1</v>
      </c>
    </row>
    <row r="766" spans="1:3" ht="12.75">
      <c r="A766" t="str">
        <f>'[2]Table 1'!B743&amp;": "&amp;'[2]Table 1'!C743</f>
        <v>24334: АВТОМАТИЧЕСКИЙ ВЫКЛ. C60N 2П 4A C</v>
      </c>
      <c r="C766" s="11" t="s">
        <v>1</v>
      </c>
    </row>
    <row r="767" spans="1:3" ht="12.75">
      <c r="A767" t="str">
        <f>'[2]Table 1'!B744&amp;": "&amp;'[2]Table 1'!C744</f>
        <v>24073: АВТОМАТИЧЕСКИЙ ВЫКЛ. C60N 2П 3A B</v>
      </c>
      <c r="C767" s="11" t="s">
        <v>1</v>
      </c>
    </row>
    <row r="768" spans="1:3" ht="12.75">
      <c r="A768" t="str">
        <f>'[2]Table 1'!B745&amp;": "&amp;'[2]Table 1'!C745</f>
        <v>24343: АВТОМАТИЧЕСКИЙ ВЫКЛ. C60N 2П 63A C</v>
      </c>
      <c r="C768" s="11" t="s">
        <v>1</v>
      </c>
    </row>
    <row r="769" spans="1:3" ht="12.75">
      <c r="A769" t="str">
        <f>'[2]Table 1'!B746&amp;": "&amp;'[2]Table 1'!C746</f>
        <v>24076: АВТОМАТИЧЕСКИЙ ВЫКЛ. C60N 2П 10A B</v>
      </c>
      <c r="C769" s="11" t="s">
        <v>1</v>
      </c>
    </row>
    <row r="770" spans="1:3" ht="12.75">
      <c r="A770" t="str">
        <f>'[2]Table 1'!B747&amp;": "&amp;'[2]Table 1'!C747</f>
        <v>24333: АВТОМАТИЧЕСКИЙ ВЫКЛ. C60N 2П 3A C</v>
      </c>
      <c r="C770" s="11" t="s">
        <v>1</v>
      </c>
    </row>
    <row r="771" spans="1:3" ht="12.75">
      <c r="A771" t="str">
        <f>'[2]Table 1'!B748&amp;": "&amp;'[2]Table 1'!C748</f>
        <v>24074: АВТОМАТИЧЕСКИЙ ВЫКЛ. C60N 2П 4A B</v>
      </c>
      <c r="C771" s="11" t="s">
        <v>1</v>
      </c>
    </row>
    <row r="772" spans="1:3" ht="12.75">
      <c r="A772" t="str">
        <f>'[2]Table 1'!B749&amp;": "&amp;'[2]Table 1'!C749</f>
        <v>24582: АВТОМАТИЧЕСКИЙ ВЫКЛ. C60N 2П 3A D</v>
      </c>
      <c r="C772" s="11" t="s">
        <v>1</v>
      </c>
    </row>
    <row r="773" spans="1:3" ht="12.75">
      <c r="A773" t="str">
        <f>'[2]Table 1'!B750&amp;": "&amp;'[2]Table 1'!C750</f>
        <v>24075: АВТОМАТИЧЕСКИЙ ВЫКЛ. C60N 2П 6A B</v>
      </c>
      <c r="C773" s="11" t="s">
        <v>1</v>
      </c>
    </row>
    <row r="774" spans="1:3" ht="12.75">
      <c r="A774" t="str">
        <f>'[2]Table 1'!B751&amp;": "&amp;'[2]Table 1'!C751</f>
        <v>25431: АВТОМАТИЧЕСКИЙ ВЫКЛ. C60L 3П 1A C</v>
      </c>
      <c r="C774" s="11" t="s">
        <v>1</v>
      </c>
    </row>
    <row r="775" spans="1:3" ht="12.75">
      <c r="A775" t="str">
        <f>'[2]Table 1'!B752&amp;": "&amp;'[2]Table 1'!C752</f>
        <v>24086: АВТОМАТИЧЕСКИЙ ВЫКЛ. C60N 3П 3A B</v>
      </c>
      <c r="C775" s="11" t="s">
        <v>1</v>
      </c>
    </row>
    <row r="776" spans="1:3" ht="12.75">
      <c r="A776" t="str">
        <f>'[2]Table 1'!B753&amp;": "&amp;'[2]Table 1'!C753</f>
        <v>24088: АВТ. ВЫКЛ. C60L 3П 4A B</v>
      </c>
      <c r="C776" s="11" t="s">
        <v>1</v>
      </c>
    </row>
    <row r="777" spans="1:3" ht="12.75">
      <c r="A777" t="str">
        <f>'[2]Table 1'!B754&amp;": "&amp;'[2]Table 1'!C754</f>
        <v>24348: АВТОМАТИЧЕСКИЙ ВЫКЛ. C60N 3П 6A C</v>
      </c>
      <c r="C777" s="11" t="s">
        <v>1</v>
      </c>
    </row>
    <row r="778" spans="1:3" ht="12.75">
      <c r="A778" t="str">
        <f>'[2]Table 1'!B755&amp;": "&amp;'[2]Table 1'!C755</f>
        <v>23904: АВТ ВЫКЛ 4П С25</v>
      </c>
      <c r="C778" s="11" t="s">
        <v>1</v>
      </c>
    </row>
    <row r="779" spans="1:3" ht="12.75">
      <c r="A779" t="str">
        <f>'[2]Table 1'!B756&amp;": "&amp;'[2]Table 1'!C756</f>
        <v>24344: АВТОМАТИЧЕСКИЙ ВЫКЛ. C60N 3П 1A C</v>
      </c>
      <c r="C779" s="11" t="s">
        <v>1</v>
      </c>
    </row>
    <row r="780" spans="1:3" ht="12.75">
      <c r="A780" t="str">
        <f>'[2]Table 1'!B757&amp;": "&amp;'[2]Table 1'!C757</f>
        <v>24084: АВТОМАТИЧЕСКИЙ ВЫКЛ. C60N 3П 1A B</v>
      </c>
      <c r="C780" s="11" t="s">
        <v>1</v>
      </c>
    </row>
    <row r="781" spans="1:3" ht="12.75">
      <c r="A781" t="str">
        <f>'[2]Table 1'!B758&amp;": "&amp;'[2]Table 1'!C758</f>
        <v>24358: АВТОМАТИЧЕСКИЙ ВЫКЛ. C60N 4П 2A C</v>
      </c>
      <c r="C781" s="11" t="s">
        <v>1</v>
      </c>
    </row>
    <row r="782" spans="1:3" ht="12.75">
      <c r="A782" t="str">
        <f>'[2]Table 1'!B759&amp;": "&amp;'[2]Table 1'!C759</f>
        <v>24346: АВТОМАТИЧЕСКИЙ ВЫКЛ. C60N 3П 3A C</v>
      </c>
      <c r="C782" s="11" t="s">
        <v>1</v>
      </c>
    </row>
    <row r="783" spans="1:3" ht="12.75">
      <c r="A783" t="str">
        <f>'[2]Table 1'!B760&amp;": "&amp;'[2]Table 1'!C760</f>
        <v>26929: КОНТАКТ СОСТОЯНИЯ OF+OF/SD ДЛЯ С60/C120</v>
      </c>
      <c r="C783" s="11" t="s">
        <v>1</v>
      </c>
    </row>
    <row r="784" spans="1:3" ht="12.75">
      <c r="A784" t="str">
        <f>'[2]Table 1'!B761&amp;": "&amp;'[2]Table 1'!C761</f>
        <v>27136: РАСЦЕПИТЕЛЬ MX+OF 220-415В ДЛЯ С32H- DC</v>
      </c>
      <c r="C784" s="11" t="s">
        <v>1</v>
      </c>
    </row>
    <row r="785" spans="1:3" ht="12.75">
      <c r="A785" t="str">
        <f>'[2]Table 1'!B762&amp;": "&amp;'[2]Table 1'!C762</f>
        <v>26946: РАСЦЕПИТЕЛЬ MX+OF 110-415В ДЛЯ С60/C120</v>
      </c>
      <c r="C785" s="11" t="s">
        <v>1</v>
      </c>
    </row>
    <row r="786" spans="1:3" ht="12.75">
      <c r="A786" t="str">
        <f>'[2]Table 1'!B763&amp;": "&amp;'[2]Table 1'!C763</f>
        <v>26960: РАСЦЕПИТЕЛЬ MN 230В ДЛЯ С60/C120</v>
      </c>
      <c r="C786" s="11" t="s">
        <v>1</v>
      </c>
    </row>
    <row r="787" spans="1:3" ht="12.75">
      <c r="A787" t="str">
        <f>'[2]Table 1'!B764&amp;": "&amp;'[2]Table 1'!C764</f>
        <v>27135: КОНТАКТ СОСТОЯНИЯ SD ДЛЯ С32H-DC</v>
      </c>
      <c r="C787" s="11" t="s">
        <v>1</v>
      </c>
    </row>
    <row r="788" spans="1:3" ht="12.75">
      <c r="A788" t="str">
        <f>'[2]Table 1'!B765&amp;": "&amp;'[2]Table 1'!C765</f>
        <v>24581: АВТ. ВЫКЛ. C60N 2П 2A D</v>
      </c>
      <c r="C788" s="11" t="s">
        <v>1</v>
      </c>
    </row>
    <row r="789" spans="1:3" ht="12.75">
      <c r="A789" t="str">
        <f>'[2]Table 1'!B766&amp;": "&amp;'[2]Table 1'!C766</f>
        <v>27132: КОНТАКТ СОСТОЯНИЯ OF ДЛЯ С32H-DC</v>
      </c>
      <c r="C789" s="11" t="s">
        <v>1</v>
      </c>
    </row>
    <row r="790" spans="1:3" ht="12.75">
      <c r="A790" t="str">
        <f>'[2]Table 1'!B767&amp;": "&amp;'[2]Table 1'!C767</f>
        <v>26924: КОНТАКТ СОСТОЯНИЯ OF ДЛЯ С60/C120</v>
      </c>
      <c r="C790" s="11" t="s">
        <v>1</v>
      </c>
    </row>
    <row r="791" spans="1:3" ht="12.75">
      <c r="A791" t="str">
        <f>'[2]Table 1'!B768&amp;": "&amp;'[2]Table 1'!C768</f>
        <v>24072: АВТ. ВЫКЛ. C60N 2П 2A B</v>
      </c>
      <c r="C791" s="11" t="s">
        <v>1</v>
      </c>
    </row>
    <row r="792" spans="1:3" ht="12.75">
      <c r="A792" t="str">
        <f>'[2]Table 1'!B769&amp;": "&amp;'[2]Table 1'!C769</f>
        <v>26927: КОНТАКТ СОСТОЯНИЯ SD ДЛЯ С60/C120</v>
      </c>
      <c r="C792" s="11" t="s">
        <v>1</v>
      </c>
    </row>
    <row r="793" spans="1:3" ht="38.25">
      <c r="A793" s="9" t="str">
        <f>'[2]Table 1'!B770&amp;": "&amp;'[2]Table 1'!C770</f>
        <v>ABFM32H151: TELEFAST КАБЕЛЬ ИНФОРМАЦ, 2ХНЕ10 НА 2*16 КАНАЛОВ, ДЛЯ ПЛК QUANTUM, ДЛИНА
1,5M</v>
      </c>
      <c r="C793" s="11" t="s">
        <v>1</v>
      </c>
    </row>
    <row r="794" spans="1:3" ht="12.75">
      <c r="A794" t="str">
        <f>'[2]Table 1'!B771&amp;": "&amp;'[2]Table 1'!C771</f>
        <v>LP1D2008MW: КОНТАКТОР 4Р, 25A, 220-</v>
      </c>
      <c r="C794" s="11" t="s">
        <v>1</v>
      </c>
    </row>
    <row r="795" spans="1:3" ht="54.75" customHeight="1">
      <c r="A795" s="9" t="s">
        <v>5</v>
      </c>
      <c r="B795" s="4">
        <f>1332.435*0.8</f>
        <v>1065.948</v>
      </c>
      <c r="C795" s="11" t="s">
        <v>1</v>
      </c>
    </row>
    <row r="796" spans="1:3" ht="40.5" customHeight="1">
      <c r="A796" s="9" t="s">
        <v>6</v>
      </c>
      <c r="B796" s="4">
        <f>2557.85*0.8</f>
        <v>2046.28</v>
      </c>
      <c r="C796" s="11" t="s">
        <v>1</v>
      </c>
    </row>
    <row r="797" spans="1:3" ht="54.75" customHeight="1">
      <c r="A797" s="9" t="s">
        <v>7</v>
      </c>
      <c r="B797" s="4">
        <f>7124.155*0.8</f>
        <v>5699.3240000000005</v>
      </c>
      <c r="C797" s="11" t="s">
        <v>1</v>
      </c>
    </row>
    <row r="798" spans="1:3" ht="51.75" customHeight="1">
      <c r="A798" s="9" t="s">
        <v>8</v>
      </c>
      <c r="B798" s="4">
        <f>7124.155*0.8</f>
        <v>5699.3240000000005</v>
      </c>
      <c r="C798" s="11" t="s">
        <v>1</v>
      </c>
    </row>
    <row r="799" spans="1:3" ht="63.75">
      <c r="A799" s="9" t="s">
        <v>9</v>
      </c>
      <c r="B799" s="4">
        <f>7124.155*0.8</f>
        <v>5699.3240000000005</v>
      </c>
      <c r="C799" s="11" t="s">
        <v>1</v>
      </c>
    </row>
    <row r="800" spans="1:3" ht="38.25">
      <c r="A800" s="9" t="s">
        <v>10</v>
      </c>
      <c r="B800" s="4">
        <f>511.495*0.8</f>
        <v>409.196</v>
      </c>
      <c r="C800" s="11" t="s">
        <v>1</v>
      </c>
    </row>
    <row r="801" spans="1:3" ht="63.75">
      <c r="A801" s="9" t="s">
        <v>11</v>
      </c>
      <c r="B801" s="4">
        <f>847.17*0.8</f>
        <v>677.736</v>
      </c>
      <c r="C801" s="11" t="s">
        <v>1</v>
      </c>
    </row>
    <row r="802" spans="1:3" ht="12.75">
      <c r="A802" s="9" t="s">
        <v>12</v>
      </c>
      <c r="B802" s="4">
        <f>7848.555*0.8</f>
        <v>6278.844000000001</v>
      </c>
      <c r="C802" s="11" t="s">
        <v>1</v>
      </c>
    </row>
    <row r="803" spans="1:3" ht="63.75">
      <c r="A803" s="9" t="s">
        <v>13</v>
      </c>
      <c r="B803" s="4">
        <f>20132.755*0.8</f>
        <v>16106.204000000002</v>
      </c>
      <c r="C803" s="11" t="s">
        <v>1</v>
      </c>
    </row>
    <row r="804" spans="1:3" ht="63.75">
      <c r="A804" s="9" t="s">
        <v>14</v>
      </c>
      <c r="C804" s="11" t="s">
        <v>1</v>
      </c>
    </row>
    <row r="805" spans="1:3" ht="12.75">
      <c r="A805" s="9" t="s">
        <v>15</v>
      </c>
      <c r="C805" s="11" t="s">
        <v>1</v>
      </c>
    </row>
    <row r="806" spans="1:3" ht="12.75">
      <c r="A806" s="10">
        <v>720200101</v>
      </c>
      <c r="C806" s="11" t="s">
        <v>1</v>
      </c>
    </row>
    <row r="807" spans="1:3" ht="12.75">
      <c r="A807" s="9" t="s">
        <v>16</v>
      </c>
      <c r="C807" s="11" t="s">
        <v>1</v>
      </c>
    </row>
    <row r="808" spans="1:3" ht="12.75">
      <c r="A808" s="9" t="s">
        <v>17</v>
      </c>
      <c r="C808" s="11" t="s">
        <v>1</v>
      </c>
    </row>
    <row r="809" spans="1:3" ht="12.75">
      <c r="A809" s="9" t="s">
        <v>18</v>
      </c>
      <c r="C809" s="11" t="s">
        <v>1</v>
      </c>
    </row>
    <row r="810" spans="1:3" ht="27" customHeight="1">
      <c r="A810" s="9" t="s">
        <v>19</v>
      </c>
      <c r="C810" s="11" t="s">
        <v>1</v>
      </c>
    </row>
    <row r="811" spans="1:3" ht="76.5">
      <c r="A811" s="9" t="s">
        <v>20</v>
      </c>
      <c r="C811" s="11" t="s">
        <v>1</v>
      </c>
    </row>
    <row r="812" spans="1:3" ht="12.75">
      <c r="A812" s="9" t="s">
        <v>21</v>
      </c>
      <c r="C812" s="11" t="s">
        <v>1</v>
      </c>
    </row>
    <row r="813" spans="1:3" ht="51">
      <c r="A813" s="9" t="s">
        <v>22</v>
      </c>
      <c r="C813" s="11" t="s">
        <v>1</v>
      </c>
    </row>
    <row r="814" spans="1:3" ht="38.25">
      <c r="A814" s="9" t="s">
        <v>23</v>
      </c>
      <c r="C814" s="11" t="s">
        <v>1</v>
      </c>
    </row>
    <row r="815" spans="1:3" ht="12.75">
      <c r="A815" s="9" t="s">
        <v>24</v>
      </c>
      <c r="C815" s="11" t="s">
        <v>1</v>
      </c>
    </row>
    <row r="816" spans="1:3" ht="38.25">
      <c r="A816" s="9" t="s">
        <v>25</v>
      </c>
      <c r="C816" s="11" t="s">
        <v>1</v>
      </c>
    </row>
    <row r="817" spans="1:3" ht="25.5">
      <c r="A817" s="9" t="s">
        <v>26</v>
      </c>
      <c r="C817" s="11" t="s">
        <v>1</v>
      </c>
    </row>
    <row r="818" spans="1:3" ht="12.75">
      <c r="A818" s="9" t="s">
        <v>27</v>
      </c>
      <c r="C818" s="11" t="s">
        <v>1</v>
      </c>
    </row>
    <row r="819" spans="1:3" ht="38.25">
      <c r="A819" s="9" t="s">
        <v>28</v>
      </c>
      <c r="C819" s="11" t="s">
        <v>1</v>
      </c>
    </row>
    <row r="820" spans="1:3" ht="12.75">
      <c r="A820" s="9" t="s">
        <v>29</v>
      </c>
      <c r="C820" s="11" t="s">
        <v>1</v>
      </c>
    </row>
    <row r="821" spans="1:3" ht="51.75" customHeight="1">
      <c r="A821" s="9" t="s">
        <v>30</v>
      </c>
      <c r="C821" s="11" t="s">
        <v>1</v>
      </c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</cp:lastModifiedBy>
  <dcterms:modified xsi:type="dcterms:W3CDTF">2018-02-08T07:44:34Z</dcterms:modified>
  <cp:category/>
  <cp:version/>
  <cp:contentType/>
  <cp:contentStatus/>
</cp:coreProperties>
</file>